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liso\ETC Cooperative Dropbox\ETC Cooperative\Business\Board Packages_Transparency Report\2022 AGM\2022 Budget\"/>
    </mc:Choice>
  </mc:AlternateContent>
  <xr:revisionPtr revIDLastSave="0" documentId="13_ncr:1_{8AC2158A-6481-4E4D-9952-4E4C42BBD886}" xr6:coauthVersionLast="47" xr6:coauthVersionMax="47" xr10:uidLastSave="{00000000-0000-0000-0000-000000000000}"/>
  <bookViews>
    <workbookView xWindow="86280" yWindow="-120" windowWidth="29040" windowHeight="15840" activeTab="1" xr2:uid="{BF1D4F84-C192-47F9-9348-B5FAFD569775}"/>
  </bookViews>
  <sheets>
    <sheet name="Cover Page" sheetId="2" r:id="rId1"/>
    <sheet name="2022 Budget Expenses Model" sheetId="3" r:id="rId2"/>
    <sheet name="Budget Summary" sheetId="1" state="hidden" r:id="rId3"/>
    <sheet name="Summary by Department &amp; Categor" sheetId="6" state="hidden" r:id="rId4"/>
    <sheet name="Sheet3" sheetId="17" state="hidden" r:id="rId5"/>
    <sheet name="Summary for Presentation" sheetId="11" state="hidden" r:id="rId6"/>
    <sheet name="Back up ---&gt;" sheetId="10" r:id="rId7"/>
    <sheet name="Grant Budget" sheetId="21" state="hidden" r:id="rId8"/>
    <sheet name="Travel Budget" sheetId="7" r:id="rId9"/>
    <sheet name="Budget 2020" sheetId="22" state="hidden" r:id="rId10"/>
    <sheet name="Balance Sheet" sheetId="20" state="hidden" r:id="rId11"/>
    <sheet name="Cash-Flow" sheetId="18" state="hidden" r:id="rId12"/>
    <sheet name="P&amp;L " sheetId="19" state="hidden" r:id="rId13"/>
    <sheet name="Financial Position" sheetId="16" state="hidden" r:id="rId14"/>
    <sheet name="Income Scenarios" sheetId="4" state="hidden" r:id="rId15"/>
    <sheet name="Highlevel Master COA" sheetId="14" state="hidden" r:id="rId16"/>
    <sheet name="COA" sheetId="15"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'[2]DCF Assump-F3'!#REF!</definedName>
    <definedName name="_12__123Graph_XCHART_3" hidden="1">'[2]DCF Assump-F3'!#REF!</definedName>
    <definedName name="_2__123Graph_ACHART_1" hidden="1">'[2]DCF Assump-F3'!#REF!</definedName>
    <definedName name="_4__123Graph_ACHART_2" hidden="1">'[2]DCF Assump-F3'!#REF!</definedName>
    <definedName name="_6__123Graph_ACHART_3" hidden="1">'[2]DCF Assump-F3'!#REF!</definedName>
    <definedName name="_8__123Graph_BCHART_3" hidden="1">'[2]DCF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[3]Profile!$1:$1048576</definedName>
    <definedName name="_bdm.23CCEEA7D76A49C5B721F001521830EF.edm" hidden="1">'[3]Tactic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[4]SandPs!$1:$1048576</definedName>
    <definedName name="_bdm.3B1DC52AB73240009B9EDA70131D3FF7.edm" hidden="1">[4]ExtendExpire!$1:$1048576</definedName>
    <definedName name="_bdm.3D34C55D28374E988D0A0CF52B126D20.edm" hidden="1">#REF!</definedName>
    <definedName name="_bdm.44B8EF609FFE409DB4B3DE6E3449745D.edm" hidden="1">'[5]Shareholder proposals by type'!$1:$1048576</definedName>
    <definedName name="_bdm.46C79F8CD9D843FAAE6E8AD94E660FA2.edm" hidden="1">'[5]2007ISSWatchlist'!$1:$1048576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'[3]Indexed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[6]Sheet1!$1:$1048576</definedName>
    <definedName name="_bdm.744963FA5FFB4C9E8AC02EA6E4BFB338.edm" hidden="1">#REF!</definedName>
    <definedName name="_bdm.74DAEC2FF2554C0E88DD9DEAA3D45988.edm" hidden="1">[3]Graphs!$1:$1048576</definedName>
    <definedName name="_bdm.7723A254FE8B484AA4C8E56845E054CE.edm" hidden="1">'[4]Peer Defense Comparison'!$1:$1048576</definedName>
    <definedName name="_bdm.7C61DF3627FC4A328715E87787DE2B77.edm" hidden="1">'[4]Industry Rights Provisions'!$1:$1048576</definedName>
    <definedName name="_bdm.7C640B983ECF46BFA426901A06AF3654.edm" hidden="1">#REF!</definedName>
    <definedName name="_bdm.812FDE8087554CA89728A721B8D88EF1.edm" hidden="1">[3]Quartiles!$1:$1048576</definedName>
    <definedName name="_bdm.8262156DFD6D400FB6DBDC7D2D5A75A9.edm" hidden="1">#REF!</definedName>
    <definedName name="_bdm.8BCF272F69244B8D8ECFCAE0DCEFAE7B.edm" hidden="1">'[4]Defense Profile Summary'!$1:$1048576</definedName>
    <definedName name="_bdm.9388ECE20BE14F5DBDE940F3019EFF2D.edm" hidden="1">#REF!</definedName>
    <definedName name="_bdm.9BC380C819344E4BBF407E09E223F42D.edm" hidden="1">'[5]SH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[7]Contracts!$1:$1048576</definedName>
    <definedName name="_bdm.D71813CD4C154CB899859A5978D8AA00.edm" hidden="1">#REF!</definedName>
    <definedName name="_bdm.D9657B267EDF42C294F3560936290C74.edm" hidden="1">#REF!</definedName>
    <definedName name="_bdm.DA9CF9DE967A4F88A5CADB3EC18BCDB7.edm" hidden="1">'[3]Detail Profile'!$1:$1048576</definedName>
    <definedName name="_bdm.E05541A91C5C48DEAF2B3D9A457CA591.edm" hidden="1">[4]SandPTakeover!$1:$1048576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'[3]Profile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'Summary by Department &amp; Categor'!#REF!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[8]Summary!$B$6:$B$214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[9]Maintenance!$AY$93:$BA$93</definedName>
    <definedName name="fins1" hidden="1">{#N/A,#N/A,FALSE,"Calc";#N/A,#N/A,FALSE,"Sensitivity";#N/A,#N/A,FALSE,"LT Earn.Dil.";#N/A,#N/A,FALSE,"Dil. AVP"}</definedName>
    <definedName name="Flat_EBITDA_Ni_Price">[10]Flat_Price_EBITDA!$B$210</definedName>
    <definedName name="fore">[11]LOOKUP!#REF!</definedName>
    <definedName name="FOREX">[11]LOOKUP!#REF!</definedName>
    <definedName name="ggf" hidden="1">{"comps",#N/A,FALSE,"comps";"notes",#N/A,FALSE,"comps"}</definedName>
    <definedName name="hhhsdf" hidden="1">{"up stand alones",#N/A,FALSE,"Acquiror"}</definedName>
    <definedName name="hlkup">[12]graphs!$B$49:$BC$64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[13]Capitalization!$A$83:$A$90</definedName>
    <definedName name="IQRCapitalizationD79" hidden="1">[13]Capitalization!$D$80:$D$87</definedName>
    <definedName name="IQRCapitalizationE79" hidden="1">[13]Capitalization!$E$80:$E$87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[13]Sav!$A$86:$A$93</definedName>
    <definedName name="IQRSavD82" hidden="1">[13]Sav!$D$83:$D$90</definedName>
    <definedName name="IQRSavE82" hidden="1">[13]Sav!$E$83:$E$90</definedName>
    <definedName name="IQRV21" hidden="1">"$V$22:$V$562"</definedName>
    <definedName name="IQRV22" hidden="1">"$V$23:$V$1281"</definedName>
    <definedName name="IQRVolatilityCalculationAM21" hidden="1">'[14]Volatility Calculation'!#REF!</definedName>
    <definedName name="IQRVolatilityCalculationAR21" hidden="1">'[14]Volatility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[11]LOOKUP!$B$4:$B$15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'[2]DCF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[15]LOOKUPS!$A$4:$A$7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[11]LOOKUP!$H$5:$H$23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[15]LOOKUPS!$C$4:$C$5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[11]LOOKUP!$F$4:$F$6</definedName>
    <definedName name="Z_2891AF67_639B_11D2_AA4E_AB73DC59AB4D_.wvu.PrintArea" hidden="1">'[1]Forecast 2009'!$B$2:$U$50</definedName>
    <definedName name="Z_2891AF68_639B_11D2_AA4E_AB73DC59AB4D_.wvu.PrintArea" hidden="1">'[1]Forecast 2009'!$B$51:$U$88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3" i="3" l="1"/>
  <c r="G50" i="3"/>
  <c r="G40" i="3"/>
  <c r="G31" i="3"/>
  <c r="F21" i="7"/>
  <c r="H7" i="7"/>
  <c r="H8" i="7"/>
  <c r="H9" i="7"/>
  <c r="H10" i="7"/>
  <c r="H11" i="7"/>
  <c r="I7" i="7"/>
  <c r="I8" i="7"/>
  <c r="I9" i="7"/>
  <c r="I10" i="7"/>
  <c r="I11" i="7"/>
  <c r="I6" i="7"/>
  <c r="H6" i="7"/>
  <c r="G7" i="7"/>
  <c r="G8" i="7"/>
  <c r="G9" i="7"/>
  <c r="G10" i="7"/>
  <c r="G11" i="7"/>
  <c r="G6" i="7"/>
  <c r="F7" i="7"/>
  <c r="F8" i="7"/>
  <c r="F9" i="7"/>
  <c r="F10" i="7"/>
  <c r="F11" i="7"/>
  <c r="F6" i="7"/>
  <c r="J18" i="3"/>
  <c r="K18" i="3"/>
  <c r="L18" i="3"/>
  <c r="M18" i="3"/>
  <c r="N18" i="3"/>
  <c r="O18" i="3"/>
  <c r="P18" i="3"/>
  <c r="Q18" i="3"/>
  <c r="R18" i="3"/>
  <c r="S18" i="3"/>
  <c r="T18" i="3"/>
  <c r="J21" i="3"/>
  <c r="T201" i="22"/>
  <c r="T202" i="22" s="1"/>
  <c r="S201" i="22"/>
  <c r="S202" i="22" s="1"/>
  <c r="R201" i="22"/>
  <c r="R202" i="22" s="1"/>
  <c r="Q201" i="22"/>
  <c r="Q202" i="22" s="1"/>
  <c r="P201" i="22"/>
  <c r="P202" i="22" s="1"/>
  <c r="O201" i="22"/>
  <c r="O202" i="22" s="1"/>
  <c r="N201" i="22"/>
  <c r="N202" i="22" s="1"/>
  <c r="M201" i="22"/>
  <c r="M202" i="22" s="1"/>
  <c r="L201" i="22"/>
  <c r="L202" i="22" s="1"/>
  <c r="K201" i="22"/>
  <c r="K202" i="22" s="1"/>
  <c r="J201" i="22"/>
  <c r="J202" i="22" s="1"/>
  <c r="I201" i="22"/>
  <c r="I202" i="22" s="1"/>
  <c r="G201" i="22"/>
  <c r="U200" i="22"/>
  <c r="U199" i="22"/>
  <c r="U198" i="22"/>
  <c r="U197" i="22"/>
  <c r="G194" i="22"/>
  <c r="U193" i="22"/>
  <c r="U192" i="22"/>
  <c r="T186" i="22"/>
  <c r="S186" i="22"/>
  <c r="R186" i="22"/>
  <c r="Q186" i="22"/>
  <c r="P186" i="22"/>
  <c r="O186" i="22"/>
  <c r="N186" i="22"/>
  <c r="M186" i="22"/>
  <c r="L186" i="22"/>
  <c r="K186" i="22"/>
  <c r="J186" i="22"/>
  <c r="I186" i="22"/>
  <c r="G186" i="22"/>
  <c r="U185" i="22"/>
  <c r="U184" i="22"/>
  <c r="T182" i="22"/>
  <c r="S182" i="22"/>
  <c r="R182" i="22"/>
  <c r="Q182" i="22"/>
  <c r="P182" i="22"/>
  <c r="O182" i="22"/>
  <c r="N182" i="22"/>
  <c r="M182" i="22"/>
  <c r="L182" i="22"/>
  <c r="K182" i="22"/>
  <c r="J182" i="22"/>
  <c r="I182" i="22"/>
  <c r="T181" i="22"/>
  <c r="T187" i="22" s="1"/>
  <c r="S181" i="22"/>
  <c r="S187" i="22" s="1"/>
  <c r="R181" i="22"/>
  <c r="R187" i="22" s="1"/>
  <c r="Q181" i="22"/>
  <c r="P181" i="22"/>
  <c r="P187" i="22" s="1"/>
  <c r="O181" i="22"/>
  <c r="N181" i="22"/>
  <c r="M181" i="22"/>
  <c r="L181" i="22"/>
  <c r="K181" i="22"/>
  <c r="J181" i="22"/>
  <c r="I181" i="22"/>
  <c r="G181" i="22"/>
  <c r="U180" i="22"/>
  <c r="U179" i="22"/>
  <c r="U178" i="22"/>
  <c r="U177" i="22"/>
  <c r="U176" i="22"/>
  <c r="U175" i="22"/>
  <c r="T172" i="22"/>
  <c r="T173" i="22" s="1"/>
  <c r="S172" i="22"/>
  <c r="S173" i="22" s="1"/>
  <c r="R172" i="22"/>
  <c r="R173" i="22" s="1"/>
  <c r="Q172" i="22"/>
  <c r="Q173" i="22" s="1"/>
  <c r="P172" i="22"/>
  <c r="P173" i="22" s="1"/>
  <c r="O172" i="22"/>
  <c r="O173" i="22" s="1"/>
  <c r="N172" i="22"/>
  <c r="N173" i="22" s="1"/>
  <c r="M172" i="22"/>
  <c r="M173" i="22" s="1"/>
  <c r="L172" i="22"/>
  <c r="L173" i="22" s="1"/>
  <c r="K172" i="22"/>
  <c r="K173" i="22" s="1"/>
  <c r="J172" i="22"/>
  <c r="J173" i="22" s="1"/>
  <c r="I172" i="22"/>
  <c r="I173" i="22" s="1"/>
  <c r="G172" i="22"/>
  <c r="U171" i="22"/>
  <c r="U170" i="22"/>
  <c r="U169" i="22"/>
  <c r="U166" i="22"/>
  <c r="T165" i="22"/>
  <c r="S165" i="22"/>
  <c r="R165" i="22"/>
  <c r="Q165" i="22"/>
  <c r="P165" i="22"/>
  <c r="O165" i="22"/>
  <c r="N165" i="22"/>
  <c r="M165" i="22"/>
  <c r="L165" i="22"/>
  <c r="K165" i="22"/>
  <c r="J165" i="22"/>
  <c r="I165" i="22"/>
  <c r="T164" i="22"/>
  <c r="S164" i="22"/>
  <c r="R164" i="22"/>
  <c r="Q164" i="22"/>
  <c r="P164" i="22"/>
  <c r="O164" i="22"/>
  <c r="N164" i="22"/>
  <c r="M164" i="22"/>
  <c r="L164" i="22"/>
  <c r="K164" i="22"/>
  <c r="J164" i="22"/>
  <c r="I164" i="22"/>
  <c r="T163" i="22"/>
  <c r="S163" i="22"/>
  <c r="R163" i="22"/>
  <c r="R167" i="22" s="1"/>
  <c r="Q163" i="22"/>
  <c r="Q167" i="22" s="1"/>
  <c r="P163" i="22"/>
  <c r="P167" i="22" s="1"/>
  <c r="O163" i="22"/>
  <c r="N163" i="22"/>
  <c r="M163" i="22"/>
  <c r="L163" i="22"/>
  <c r="K163" i="22"/>
  <c r="J163" i="22"/>
  <c r="I163" i="22"/>
  <c r="I167" i="22" s="1"/>
  <c r="U160" i="22"/>
  <c r="T160" i="22"/>
  <c r="S160" i="22"/>
  <c r="R160" i="22"/>
  <c r="Q160" i="22"/>
  <c r="P160" i="22"/>
  <c r="O160" i="22"/>
  <c r="N160" i="22"/>
  <c r="M160" i="22"/>
  <c r="L160" i="22"/>
  <c r="K160" i="22"/>
  <c r="J160" i="22"/>
  <c r="I160" i="22"/>
  <c r="T135" i="22"/>
  <c r="T136" i="22" s="1"/>
  <c r="S135" i="22"/>
  <c r="S136" i="22" s="1"/>
  <c r="R135" i="22"/>
  <c r="R136" i="22" s="1"/>
  <c r="Q135" i="22"/>
  <c r="Q136" i="22" s="1"/>
  <c r="P135" i="22"/>
  <c r="P136" i="22" s="1"/>
  <c r="O135" i="22"/>
  <c r="O136" i="22" s="1"/>
  <c r="N135" i="22"/>
  <c r="N136" i="22" s="1"/>
  <c r="M135" i="22"/>
  <c r="M136" i="22" s="1"/>
  <c r="L135" i="22"/>
  <c r="L136" i="22" s="1"/>
  <c r="K135" i="22"/>
  <c r="K136" i="22" s="1"/>
  <c r="J135" i="22"/>
  <c r="J136" i="22" s="1"/>
  <c r="I135" i="22"/>
  <c r="I136" i="22" s="1"/>
  <c r="G135" i="22"/>
  <c r="U134" i="22"/>
  <c r="U133" i="22"/>
  <c r="U132" i="22"/>
  <c r="U131" i="22"/>
  <c r="G128" i="22"/>
  <c r="U127" i="22"/>
  <c r="U126" i="22"/>
  <c r="U125" i="22"/>
  <c r="Q121" i="22"/>
  <c r="T120" i="22"/>
  <c r="T121" i="22" s="1"/>
  <c r="S120" i="22"/>
  <c r="S121" i="22" s="1"/>
  <c r="R120" i="22"/>
  <c r="R121" i="22" s="1"/>
  <c r="Q120" i="22"/>
  <c r="P120" i="22"/>
  <c r="P121" i="22" s="1"/>
  <c r="O120" i="22"/>
  <c r="O121" i="22" s="1"/>
  <c r="N120" i="22"/>
  <c r="N121" i="22" s="1"/>
  <c r="M120" i="22"/>
  <c r="M121" i="22" s="1"/>
  <c r="L120" i="22"/>
  <c r="L121" i="22" s="1"/>
  <c r="K120" i="22"/>
  <c r="K121" i="22" s="1"/>
  <c r="J120" i="22"/>
  <c r="J121" i="22" s="1"/>
  <c r="I120" i="22"/>
  <c r="I121" i="22" s="1"/>
  <c r="G120" i="22"/>
  <c r="U119" i="22"/>
  <c r="U118" i="22"/>
  <c r="T116" i="22"/>
  <c r="S116" i="22"/>
  <c r="R116" i="22"/>
  <c r="Q116" i="22"/>
  <c r="P116" i="22"/>
  <c r="O116" i="22"/>
  <c r="N116" i="22"/>
  <c r="M116" i="22"/>
  <c r="L116" i="22"/>
  <c r="K116" i="22"/>
  <c r="J116" i="22"/>
  <c r="I116" i="22"/>
  <c r="T115" i="22"/>
  <c r="S115" i="22"/>
  <c r="R115" i="22"/>
  <c r="Q115" i="22"/>
  <c r="P115" i="22"/>
  <c r="O115" i="22"/>
  <c r="N115" i="22"/>
  <c r="M115" i="22"/>
  <c r="L115" i="22"/>
  <c r="K115" i="22"/>
  <c r="J115" i="22"/>
  <c r="I115" i="22"/>
  <c r="G115" i="22"/>
  <c r="U114" i="22"/>
  <c r="U113" i="22"/>
  <c r="U112" i="22"/>
  <c r="U111" i="22"/>
  <c r="U110" i="22"/>
  <c r="U109" i="22"/>
  <c r="T106" i="22"/>
  <c r="T107" i="22" s="1"/>
  <c r="S106" i="22"/>
  <c r="S107" i="22" s="1"/>
  <c r="R106" i="22"/>
  <c r="R107" i="22" s="1"/>
  <c r="Q106" i="22"/>
  <c r="Q107" i="22" s="1"/>
  <c r="P106" i="22"/>
  <c r="P107" i="22" s="1"/>
  <c r="O106" i="22"/>
  <c r="O107" i="22" s="1"/>
  <c r="N106" i="22"/>
  <c r="N107" i="22" s="1"/>
  <c r="M106" i="22"/>
  <c r="M107" i="22" s="1"/>
  <c r="L106" i="22"/>
  <c r="L107" i="22" s="1"/>
  <c r="K106" i="22"/>
  <c r="K107" i="22" s="1"/>
  <c r="J106" i="22"/>
  <c r="J107" i="22" s="1"/>
  <c r="I106" i="22"/>
  <c r="I107" i="22" s="1"/>
  <c r="G106" i="22"/>
  <c r="U105" i="22"/>
  <c r="U104" i="22"/>
  <c r="U103" i="22"/>
  <c r="U100" i="22"/>
  <c r="T99" i="22"/>
  <c r="S99" i="22"/>
  <c r="R99" i="22"/>
  <c r="Q99" i="22"/>
  <c r="P99" i="22"/>
  <c r="O99" i="22"/>
  <c r="N99" i="22"/>
  <c r="M99" i="22"/>
  <c r="L99" i="22"/>
  <c r="K99" i="22"/>
  <c r="J99" i="22"/>
  <c r="I99" i="22"/>
  <c r="T98" i="22"/>
  <c r="S98" i="22"/>
  <c r="R98" i="22"/>
  <c r="Q98" i="22"/>
  <c r="P98" i="22"/>
  <c r="O98" i="22"/>
  <c r="N98" i="22"/>
  <c r="M98" i="22"/>
  <c r="L98" i="22"/>
  <c r="K98" i="22"/>
  <c r="J98" i="22"/>
  <c r="I98" i="22"/>
  <c r="T97" i="22"/>
  <c r="S97" i="22"/>
  <c r="R97" i="22"/>
  <c r="Q97" i="22"/>
  <c r="P97" i="22"/>
  <c r="O97" i="22"/>
  <c r="N97" i="22"/>
  <c r="M97" i="22"/>
  <c r="L97" i="22"/>
  <c r="K97" i="22"/>
  <c r="J97" i="22"/>
  <c r="I97" i="22"/>
  <c r="U94" i="22"/>
  <c r="T94" i="22"/>
  <c r="S94" i="22"/>
  <c r="R94" i="22"/>
  <c r="Q94" i="22"/>
  <c r="P94" i="22"/>
  <c r="O94" i="22"/>
  <c r="N94" i="22"/>
  <c r="M94" i="22"/>
  <c r="L94" i="22"/>
  <c r="K94" i="22"/>
  <c r="J94" i="22"/>
  <c r="I94" i="22"/>
  <c r="U72" i="22"/>
  <c r="T72" i="22"/>
  <c r="S72" i="22"/>
  <c r="R72" i="22"/>
  <c r="Q72" i="22"/>
  <c r="P72" i="22"/>
  <c r="O72" i="22"/>
  <c r="N72" i="22"/>
  <c r="M72" i="22"/>
  <c r="L72" i="22"/>
  <c r="K72" i="22"/>
  <c r="J72" i="22"/>
  <c r="I72" i="22"/>
  <c r="S63" i="22"/>
  <c r="S64" i="22" s="1"/>
  <c r="R63" i="22"/>
  <c r="R64" i="22" s="1"/>
  <c r="Q63" i="22"/>
  <c r="Q64" i="22" s="1"/>
  <c r="P63" i="22"/>
  <c r="P64" i="22" s="1"/>
  <c r="O63" i="22"/>
  <c r="O64" i="22" s="1"/>
  <c r="N63" i="22"/>
  <c r="N64" i="22" s="1"/>
  <c r="M63" i="22"/>
  <c r="M64" i="22" s="1"/>
  <c r="L63" i="22"/>
  <c r="L64" i="22" s="1"/>
  <c r="K63" i="22"/>
  <c r="K64" i="22" s="1"/>
  <c r="J63" i="22"/>
  <c r="J64" i="22" s="1"/>
  <c r="I63" i="22"/>
  <c r="I64" i="22" s="1"/>
  <c r="G63" i="22"/>
  <c r="C63" i="22"/>
  <c r="U62" i="22"/>
  <c r="C62" i="22"/>
  <c r="U61" i="22"/>
  <c r="C61" i="22"/>
  <c r="U60" i="22"/>
  <c r="C60" i="22"/>
  <c r="U59" i="22"/>
  <c r="C59" i="22"/>
  <c r="U58" i="22"/>
  <c r="C58" i="22"/>
  <c r="U57" i="22"/>
  <c r="C57" i="22"/>
  <c r="T56" i="22"/>
  <c r="U56" i="22" s="1"/>
  <c r="C56" i="22"/>
  <c r="T55" i="22"/>
  <c r="U55" i="22" s="1"/>
  <c r="C55" i="22"/>
  <c r="T54" i="22"/>
  <c r="U54" i="22" s="1"/>
  <c r="C54" i="22"/>
  <c r="U53" i="22"/>
  <c r="C53" i="22"/>
  <c r="C52" i="22"/>
  <c r="L51" i="22"/>
  <c r="K51" i="22"/>
  <c r="C51" i="22"/>
  <c r="T50" i="22"/>
  <c r="T51" i="22" s="1"/>
  <c r="S50" i="22"/>
  <c r="S51" i="22" s="1"/>
  <c r="R50" i="22"/>
  <c r="R51" i="22" s="1"/>
  <c r="Q50" i="22"/>
  <c r="Q51" i="22" s="1"/>
  <c r="P50" i="22"/>
  <c r="P51" i="22" s="1"/>
  <c r="O50" i="22"/>
  <c r="O51" i="22" s="1"/>
  <c r="N50" i="22"/>
  <c r="N51" i="22" s="1"/>
  <c r="M50" i="22"/>
  <c r="M51" i="22" s="1"/>
  <c r="L50" i="22"/>
  <c r="K50" i="22"/>
  <c r="J50" i="22"/>
  <c r="J51" i="22" s="1"/>
  <c r="I50" i="22"/>
  <c r="I51" i="22" s="1"/>
  <c r="G50" i="22"/>
  <c r="C50" i="22"/>
  <c r="U49" i="22"/>
  <c r="C49" i="22"/>
  <c r="U48" i="22"/>
  <c r="C48" i="22"/>
  <c r="U47" i="22"/>
  <c r="C47" i="22"/>
  <c r="U46" i="22"/>
  <c r="C46" i="22"/>
  <c r="U45" i="22"/>
  <c r="C45" i="22"/>
  <c r="U44" i="22"/>
  <c r="C44" i="22"/>
  <c r="U43" i="22"/>
  <c r="C43" i="22"/>
  <c r="C42" i="22"/>
  <c r="K41" i="22"/>
  <c r="C41" i="22"/>
  <c r="T40" i="22"/>
  <c r="T41" i="22" s="1"/>
  <c r="S40" i="22"/>
  <c r="S41" i="22" s="1"/>
  <c r="R40" i="22"/>
  <c r="R41" i="22" s="1"/>
  <c r="Q40" i="22"/>
  <c r="Q41" i="22" s="1"/>
  <c r="P40" i="22"/>
  <c r="P41" i="22" s="1"/>
  <c r="O40" i="22"/>
  <c r="O41" i="22" s="1"/>
  <c r="N40" i="22"/>
  <c r="N41" i="22" s="1"/>
  <c r="M40" i="22"/>
  <c r="M41" i="22" s="1"/>
  <c r="L40" i="22"/>
  <c r="L41" i="22" s="1"/>
  <c r="K40" i="22"/>
  <c r="J40" i="22"/>
  <c r="J41" i="22" s="1"/>
  <c r="I40" i="22"/>
  <c r="I41" i="22" s="1"/>
  <c r="G40" i="22"/>
  <c r="C40" i="22"/>
  <c r="U39" i="22"/>
  <c r="C39" i="22"/>
  <c r="U38" i="22"/>
  <c r="C38" i="22"/>
  <c r="U37" i="22"/>
  <c r="C37" i="22"/>
  <c r="U36" i="22"/>
  <c r="C36" i="22"/>
  <c r="U35" i="22"/>
  <c r="C35" i="22"/>
  <c r="U34" i="22"/>
  <c r="C34" i="22"/>
  <c r="C33" i="22"/>
  <c r="N32" i="22"/>
  <c r="C32" i="22"/>
  <c r="T31" i="22"/>
  <c r="T32" i="22" s="1"/>
  <c r="S31" i="22"/>
  <c r="S32" i="22" s="1"/>
  <c r="R31" i="22"/>
  <c r="R32" i="22" s="1"/>
  <c r="Q31" i="22"/>
  <c r="Q32" i="22" s="1"/>
  <c r="P31" i="22"/>
  <c r="P32" i="22" s="1"/>
  <c r="O31" i="22"/>
  <c r="O32" i="22" s="1"/>
  <c r="N31" i="22"/>
  <c r="M31" i="22"/>
  <c r="M32" i="22" s="1"/>
  <c r="L31" i="22"/>
  <c r="L32" i="22" s="1"/>
  <c r="K31" i="22"/>
  <c r="K32" i="22" s="1"/>
  <c r="J31" i="22"/>
  <c r="J32" i="22" s="1"/>
  <c r="I31" i="22"/>
  <c r="I32" i="22" s="1"/>
  <c r="G31" i="22"/>
  <c r="C31" i="22"/>
  <c r="U30" i="22"/>
  <c r="C30" i="22"/>
  <c r="U29" i="22"/>
  <c r="C29" i="22"/>
  <c r="U28" i="22"/>
  <c r="C28" i="22"/>
  <c r="C27" i="22"/>
  <c r="C26" i="22"/>
  <c r="U25" i="22"/>
  <c r="C25" i="22"/>
  <c r="T24" i="22"/>
  <c r="S24" i="22"/>
  <c r="R24" i="22"/>
  <c r="Q24" i="22"/>
  <c r="P24" i="22"/>
  <c r="O24" i="22"/>
  <c r="N24" i="22"/>
  <c r="M24" i="22"/>
  <c r="L24" i="22"/>
  <c r="K24" i="22"/>
  <c r="U23" i="22"/>
  <c r="U22" i="22"/>
  <c r="C22" i="22"/>
  <c r="T21" i="22"/>
  <c r="S21" i="22"/>
  <c r="R21" i="22"/>
  <c r="Q21" i="22"/>
  <c r="P21" i="22"/>
  <c r="O21" i="22"/>
  <c r="N21" i="22"/>
  <c r="M21" i="22"/>
  <c r="L21" i="22"/>
  <c r="K21" i="22"/>
  <c r="J21" i="22"/>
  <c r="I21" i="22"/>
  <c r="C21" i="22"/>
  <c r="U20" i="22"/>
  <c r="C20" i="22"/>
  <c r="U19" i="22"/>
  <c r="C19" i="22"/>
  <c r="T18" i="22"/>
  <c r="S18" i="22"/>
  <c r="R18" i="22"/>
  <c r="Q18" i="22"/>
  <c r="P18" i="22"/>
  <c r="O18" i="22"/>
  <c r="N18" i="22"/>
  <c r="M18" i="22"/>
  <c r="L18" i="22"/>
  <c r="K18" i="22"/>
  <c r="J18" i="22"/>
  <c r="J26" i="22" s="1"/>
  <c r="I18" i="22"/>
  <c r="C18" i="22"/>
  <c r="C17" i="22"/>
  <c r="C16" i="22"/>
  <c r="T15" i="22"/>
  <c r="S15" i="22"/>
  <c r="R15" i="22"/>
  <c r="Q15" i="22"/>
  <c r="P15" i="22"/>
  <c r="O15" i="22"/>
  <c r="N15" i="22"/>
  <c r="M15" i="22"/>
  <c r="L15" i="22"/>
  <c r="K15" i="22"/>
  <c r="J15" i="22"/>
  <c r="I15" i="22"/>
  <c r="C15" i="22"/>
  <c r="U14" i="22"/>
  <c r="C14" i="22"/>
  <c r="U13" i="22"/>
  <c r="C13" i="22"/>
  <c r="U12" i="22"/>
  <c r="C12" i="22"/>
  <c r="U11" i="22"/>
  <c r="C11" i="22"/>
  <c r="U10" i="22"/>
  <c r="C10" i="22"/>
  <c r="U23" i="3"/>
  <c r="AE93" i="6"/>
  <c r="J101" i="22" l="1"/>
  <c r="T167" i="22"/>
  <c r="K101" i="22"/>
  <c r="I187" i="22"/>
  <c r="J187" i="22"/>
  <c r="J167" i="22"/>
  <c r="L187" i="22"/>
  <c r="U136" i="22"/>
  <c r="M187" i="22"/>
  <c r="R101" i="22"/>
  <c r="L167" i="22"/>
  <c r="N187" i="22"/>
  <c r="N101" i="22"/>
  <c r="K187" i="22"/>
  <c r="M167" i="22"/>
  <c r="O187" i="22"/>
  <c r="N167" i="22"/>
  <c r="O101" i="22"/>
  <c r="S101" i="22"/>
  <c r="J74" i="22"/>
  <c r="J76" i="22" s="1"/>
  <c r="U24" i="22"/>
  <c r="L26" i="22"/>
  <c r="P26" i="22"/>
  <c r="T26" i="22"/>
  <c r="N26" i="22"/>
  <c r="N74" i="22" s="1"/>
  <c r="N76" i="22" s="1"/>
  <c r="I26" i="22"/>
  <c r="I74" i="22" s="1"/>
  <c r="I76" i="22" s="1"/>
  <c r="M26" i="22"/>
  <c r="M74" i="22" s="1"/>
  <c r="M76" i="22" s="1"/>
  <c r="Q26" i="22"/>
  <c r="Q74" i="22" s="1"/>
  <c r="Q76" i="22" s="1"/>
  <c r="R26" i="22"/>
  <c r="R74" i="22" s="1"/>
  <c r="R76" i="22" s="1"/>
  <c r="U163" i="22"/>
  <c r="U186" i="22"/>
  <c r="Q187" i="22"/>
  <c r="U97" i="22"/>
  <c r="U98" i="22"/>
  <c r="M101" i="22"/>
  <c r="Q101" i="22"/>
  <c r="U116" i="22"/>
  <c r="U182" i="22"/>
  <c r="U202" i="22"/>
  <c r="U15" i="22"/>
  <c r="U18" i="22"/>
  <c r="K26" i="22"/>
  <c r="K74" i="22" s="1"/>
  <c r="K76" i="22" s="1"/>
  <c r="O26" i="22"/>
  <c r="O74" i="22" s="1"/>
  <c r="O76" i="22" s="1"/>
  <c r="S26" i="22"/>
  <c r="S74" i="22" s="1"/>
  <c r="S76" i="22" s="1"/>
  <c r="U21" i="22"/>
  <c r="U40" i="22"/>
  <c r="U41" i="22" s="1"/>
  <c r="L101" i="22"/>
  <c r="P101" i="22"/>
  <c r="T101" i="22"/>
  <c r="I101" i="22"/>
  <c r="U120" i="22"/>
  <c r="U164" i="22"/>
  <c r="U165" i="22"/>
  <c r="L74" i="22"/>
  <c r="L76" i="22" s="1"/>
  <c r="P74" i="22"/>
  <c r="P76" i="22" s="1"/>
  <c r="U31" i="22"/>
  <c r="U32" i="22" s="1"/>
  <c r="U50" i="22"/>
  <c r="U51" i="22" s="1"/>
  <c r="T63" i="22"/>
  <c r="T64" i="22" s="1"/>
  <c r="T74" i="22" s="1"/>
  <c r="T76" i="22" s="1"/>
  <c r="U115" i="22"/>
  <c r="U121" i="22" s="1"/>
  <c r="U135" i="22"/>
  <c r="K167" i="22"/>
  <c r="O167" i="22"/>
  <c r="S167" i="22"/>
  <c r="U181" i="22"/>
  <c r="U99" i="22"/>
  <c r="U106" i="22"/>
  <c r="U107" i="22" s="1"/>
  <c r="U201" i="22"/>
  <c r="U172" i="22"/>
  <c r="U173" i="22" s="1"/>
  <c r="C44" i="3"/>
  <c r="C22" i="3"/>
  <c r="C21" i="3"/>
  <c r="U24" i="3"/>
  <c r="F29" i="21"/>
  <c r="U56" i="3"/>
  <c r="U57" i="3"/>
  <c r="U58" i="3"/>
  <c r="U59" i="3"/>
  <c r="U60" i="3"/>
  <c r="U61" i="3"/>
  <c r="U62" i="3"/>
  <c r="U44" i="3"/>
  <c r="U45" i="3"/>
  <c r="U10" i="3"/>
  <c r="U22" i="3"/>
  <c r="I21" i="3"/>
  <c r="J72" i="3"/>
  <c r="K72" i="3"/>
  <c r="L72" i="3"/>
  <c r="M72" i="3"/>
  <c r="N72" i="3"/>
  <c r="O72" i="3"/>
  <c r="P72" i="3"/>
  <c r="Q72" i="3"/>
  <c r="R72" i="3"/>
  <c r="S72" i="3"/>
  <c r="T72" i="3"/>
  <c r="I72" i="3"/>
  <c r="U101" i="22" l="1"/>
  <c r="U187" i="22"/>
  <c r="U63" i="22"/>
  <c r="U64" i="22" s="1"/>
  <c r="U167" i="22"/>
  <c r="U26" i="22"/>
  <c r="U76" i="22"/>
  <c r="U74" i="22"/>
  <c r="U21" i="3"/>
  <c r="M15" i="3" l="1"/>
  <c r="N15" i="3"/>
  <c r="O15" i="3"/>
  <c r="P15" i="3"/>
  <c r="Q15" i="3"/>
  <c r="R15" i="3"/>
  <c r="S15" i="3"/>
  <c r="T15" i="3"/>
  <c r="L15" i="3"/>
  <c r="I15" i="3"/>
  <c r="K15" i="3"/>
  <c r="J15" i="3"/>
  <c r="D14" i="6" l="1"/>
  <c r="C50" i="3"/>
  <c r="J50" i="3"/>
  <c r="J51" i="3" s="1"/>
  <c r="K50" i="3"/>
  <c r="K51" i="3" s="1"/>
  <c r="L50" i="3"/>
  <c r="L51" i="3" s="1"/>
  <c r="M50" i="3"/>
  <c r="M51" i="3" s="1"/>
  <c r="N50" i="3"/>
  <c r="N51" i="3" s="1"/>
  <c r="O50" i="3"/>
  <c r="O51" i="3" s="1"/>
  <c r="P50" i="3"/>
  <c r="P51" i="3" s="1"/>
  <c r="Q50" i="3"/>
  <c r="Q51" i="3" s="1"/>
  <c r="R50" i="3"/>
  <c r="R51" i="3" s="1"/>
  <c r="S50" i="3"/>
  <c r="S51" i="3" s="1"/>
  <c r="T50" i="3"/>
  <c r="T51" i="3" s="1"/>
  <c r="I50" i="3"/>
  <c r="I51" i="3" s="1"/>
  <c r="C63" i="3"/>
  <c r="U53" i="3"/>
  <c r="U11" i="3"/>
  <c r="U12" i="3"/>
  <c r="U13" i="3"/>
  <c r="U14" i="3"/>
  <c r="U34" i="3"/>
  <c r="U46" i="3"/>
  <c r="U47" i="3"/>
  <c r="U48" i="3"/>
  <c r="U49" i="3"/>
  <c r="U43" i="3"/>
  <c r="C55" i="19"/>
  <c r="D55" i="19" s="1"/>
  <c r="E55" i="19" s="1"/>
  <c r="F55" i="19" s="1"/>
  <c r="G55" i="19" s="1"/>
  <c r="H55" i="19" s="1"/>
  <c r="I55" i="19" s="1"/>
  <c r="J55" i="19" s="1"/>
  <c r="K55" i="19" s="1"/>
  <c r="L55" i="19" s="1"/>
  <c r="M55" i="19" s="1"/>
  <c r="N55" i="19" s="1"/>
  <c r="Y47" i="19"/>
  <c r="S48" i="19"/>
  <c r="S49" i="19" s="1"/>
  <c r="S50" i="19" s="1"/>
  <c r="R48" i="19"/>
  <c r="R49" i="19" s="1"/>
  <c r="R50" i="19" s="1"/>
  <c r="Q48" i="19"/>
  <c r="Q49" i="19" s="1"/>
  <c r="Q50" i="19" s="1"/>
  <c r="P48" i="19"/>
  <c r="P49" i="19" s="1"/>
  <c r="P50" i="19" s="1"/>
  <c r="O48" i="19"/>
  <c r="O49" i="19" s="1"/>
  <c r="Y38" i="19"/>
  <c r="Y37" i="19"/>
  <c r="Y36" i="19"/>
  <c r="W39" i="19"/>
  <c r="W40" i="19" s="1"/>
  <c r="V39" i="19"/>
  <c r="V40" i="19" s="1"/>
  <c r="U39" i="19"/>
  <c r="U40" i="19" s="1"/>
  <c r="T39" i="19"/>
  <c r="T40" i="19" s="1"/>
  <c r="S39" i="19"/>
  <c r="S40" i="19" s="1"/>
  <c r="R39" i="19"/>
  <c r="R40" i="19" s="1"/>
  <c r="Q39" i="19"/>
  <c r="Q40" i="19" s="1"/>
  <c r="P39" i="19"/>
  <c r="P40" i="19" s="1"/>
  <c r="X35" i="19"/>
  <c r="W31" i="19"/>
  <c r="W32" i="19" s="1"/>
  <c r="V31" i="19"/>
  <c r="V32" i="19" s="1"/>
  <c r="U31" i="19"/>
  <c r="U32" i="19" s="1"/>
  <c r="T31" i="19"/>
  <c r="T32" i="19" s="1"/>
  <c r="S31" i="19"/>
  <c r="S32" i="19" s="1"/>
  <c r="R31" i="19"/>
  <c r="R32" i="19" s="1"/>
  <c r="Q31" i="19"/>
  <c r="Q32" i="19" s="1"/>
  <c r="P31" i="19"/>
  <c r="P32" i="19" s="1"/>
  <c r="Y30" i="19"/>
  <c r="Y25" i="19"/>
  <c r="W26" i="19"/>
  <c r="W27" i="19" s="1"/>
  <c r="V26" i="19"/>
  <c r="V27" i="19" s="1"/>
  <c r="U26" i="19"/>
  <c r="U27" i="19" s="1"/>
  <c r="T26" i="19"/>
  <c r="T27" i="19" s="1"/>
  <c r="S26" i="19"/>
  <c r="S27" i="19" s="1"/>
  <c r="R26" i="19"/>
  <c r="R27" i="19" s="1"/>
  <c r="Q26" i="19"/>
  <c r="Q27" i="19" s="1"/>
  <c r="P26" i="19"/>
  <c r="P27" i="19" s="1"/>
  <c r="O26" i="19"/>
  <c r="Y19" i="19"/>
  <c r="Y18" i="19"/>
  <c r="W20" i="19"/>
  <c r="V20" i="19"/>
  <c r="U20" i="19"/>
  <c r="T20" i="19"/>
  <c r="S20" i="19"/>
  <c r="R20" i="19"/>
  <c r="Q20" i="19"/>
  <c r="P20" i="19"/>
  <c r="O20" i="19"/>
  <c r="W15" i="19"/>
  <c r="V15" i="19"/>
  <c r="U15" i="19"/>
  <c r="T15" i="19"/>
  <c r="S15" i="19"/>
  <c r="R15" i="19"/>
  <c r="Q15" i="19"/>
  <c r="P15" i="19"/>
  <c r="O15" i="19"/>
  <c r="W43" i="18"/>
  <c r="V43" i="18"/>
  <c r="U43" i="18"/>
  <c r="T43" i="18"/>
  <c r="S43" i="18"/>
  <c r="R43" i="18"/>
  <c r="Q43" i="18"/>
  <c r="P43" i="18"/>
  <c r="O43" i="18"/>
  <c r="N43" i="18"/>
  <c r="M43" i="18"/>
  <c r="L43" i="18"/>
  <c r="K43" i="18"/>
  <c r="J43" i="18"/>
  <c r="I43" i="18"/>
  <c r="H43" i="18"/>
  <c r="G43" i="18"/>
  <c r="F43" i="18"/>
  <c r="E43" i="18"/>
  <c r="D43" i="18"/>
  <c r="W27" i="18"/>
  <c r="V27" i="18"/>
  <c r="U27" i="18"/>
  <c r="T27" i="18"/>
  <c r="S27" i="18"/>
  <c r="R27" i="18"/>
  <c r="Q27" i="18"/>
  <c r="P27" i="18"/>
  <c r="O27" i="18"/>
  <c r="N27" i="18"/>
  <c r="M27" i="18"/>
  <c r="K27" i="18"/>
  <c r="I27" i="18"/>
  <c r="H27" i="18"/>
  <c r="G27" i="18"/>
  <c r="F27" i="18"/>
  <c r="E27" i="18"/>
  <c r="D27" i="18"/>
  <c r="C27" i="18"/>
  <c r="L27" i="18"/>
  <c r="J27" i="18"/>
  <c r="W20" i="18"/>
  <c r="V20" i="18"/>
  <c r="U20" i="18"/>
  <c r="T20" i="18"/>
  <c r="S20" i="18"/>
  <c r="R20" i="18"/>
  <c r="Q20" i="18"/>
  <c r="P20" i="18"/>
  <c r="O20" i="18"/>
  <c r="N20" i="18"/>
  <c r="M20" i="18"/>
  <c r="L20" i="18"/>
  <c r="K20" i="18"/>
  <c r="J20" i="18"/>
  <c r="I20" i="18"/>
  <c r="H20" i="18"/>
  <c r="G20" i="18"/>
  <c r="F20" i="18"/>
  <c r="E20" i="18"/>
  <c r="D20" i="18"/>
  <c r="C20" i="18"/>
  <c r="W15" i="18"/>
  <c r="T48" i="19" l="1"/>
  <c r="T49" i="19" s="1"/>
  <c r="T50" i="19" s="1"/>
  <c r="U48" i="19"/>
  <c r="U49" i="19" s="1"/>
  <c r="U50" i="19" s="1"/>
  <c r="V48" i="19"/>
  <c r="V49" i="19" s="1"/>
  <c r="V50" i="19" s="1"/>
  <c r="W48" i="19"/>
  <c r="W49" i="19" s="1"/>
  <c r="W50" i="19" s="1"/>
  <c r="T21" i="19"/>
  <c r="H13" i="18"/>
  <c r="H15" i="18" s="1"/>
  <c r="H29" i="18" s="1"/>
  <c r="H33" i="18" s="1"/>
  <c r="H37" i="18" s="1"/>
  <c r="C15" i="18"/>
  <c r="W29" i="18"/>
  <c r="G13" i="18"/>
  <c r="K13" i="18"/>
  <c r="O13" i="18"/>
  <c r="S13" i="18"/>
  <c r="G15" i="18"/>
  <c r="G29" i="18" s="1"/>
  <c r="G33" i="18" s="1"/>
  <c r="G37" i="18" s="1"/>
  <c r="K15" i="18"/>
  <c r="K29" i="18" s="1"/>
  <c r="K33" i="18" s="1"/>
  <c r="K37" i="18" s="1"/>
  <c r="O15" i="18"/>
  <c r="O29" i="18" s="1"/>
  <c r="O33" i="18" s="1"/>
  <c r="O37" i="18" s="1"/>
  <c r="S15" i="18"/>
  <c r="S29" i="18" s="1"/>
  <c r="C13" i="18"/>
  <c r="O31" i="19"/>
  <c r="O32" i="19" s="1"/>
  <c r="D13" i="18"/>
  <c r="D15" i="18" s="1"/>
  <c r="D29" i="18" s="1"/>
  <c r="D33" i="18" s="1"/>
  <c r="D37" i="18" s="1"/>
  <c r="L13" i="18"/>
  <c r="L15" i="18" s="1"/>
  <c r="L29" i="18" s="1"/>
  <c r="L33" i="18" s="1"/>
  <c r="L37" i="18" s="1"/>
  <c r="P13" i="18"/>
  <c r="P15" i="18" s="1"/>
  <c r="P29" i="18" s="1"/>
  <c r="T13" i="18"/>
  <c r="T15" i="18" s="1"/>
  <c r="T29" i="18" s="1"/>
  <c r="P21" i="19"/>
  <c r="P41" i="19" s="1"/>
  <c r="P42" i="19" s="1"/>
  <c r="P52" i="19" s="1"/>
  <c r="U15" i="3"/>
  <c r="U50" i="3"/>
  <c r="U51" i="3" s="1"/>
  <c r="E13" i="18"/>
  <c r="E15" i="18" s="1"/>
  <c r="E29" i="18" s="1"/>
  <c r="E33" i="18" s="1"/>
  <c r="E37" i="18" s="1"/>
  <c r="I13" i="18"/>
  <c r="I15" i="18" s="1"/>
  <c r="I29" i="18" s="1"/>
  <c r="I33" i="18" s="1"/>
  <c r="I37" i="18" s="1"/>
  <c r="M13" i="18"/>
  <c r="M15" i="18" s="1"/>
  <c r="M29" i="18" s="1"/>
  <c r="M33" i="18" s="1"/>
  <c r="M37" i="18" s="1"/>
  <c r="Q13" i="18"/>
  <c r="Q15" i="18" s="1"/>
  <c r="Q29" i="18" s="1"/>
  <c r="U13" i="18"/>
  <c r="U15" i="18" s="1"/>
  <c r="U29" i="18" s="1"/>
  <c r="R21" i="19"/>
  <c r="R41" i="19" s="1"/>
  <c r="R42" i="19" s="1"/>
  <c r="R52" i="19" s="1"/>
  <c r="V21" i="19"/>
  <c r="F13" i="18"/>
  <c r="F15" i="18" s="1"/>
  <c r="F29" i="18" s="1"/>
  <c r="F33" i="18" s="1"/>
  <c r="F37" i="18" s="1"/>
  <c r="J13" i="18"/>
  <c r="J15" i="18" s="1"/>
  <c r="J29" i="18" s="1"/>
  <c r="J33" i="18" s="1"/>
  <c r="J37" i="18" s="1"/>
  <c r="N13" i="18"/>
  <c r="N15" i="18" s="1"/>
  <c r="N29" i="18" s="1"/>
  <c r="N33" i="18" s="1"/>
  <c r="N37" i="18" s="1"/>
  <c r="R13" i="18"/>
  <c r="R15" i="18" s="1"/>
  <c r="R29" i="18" s="1"/>
  <c r="V13" i="18"/>
  <c r="V15" i="18" s="1"/>
  <c r="V29" i="18" s="1"/>
  <c r="X38" i="19"/>
  <c r="X46" i="19"/>
  <c r="X20" i="19"/>
  <c r="Y20" i="19"/>
  <c r="O21" i="19"/>
  <c r="Y15" i="19"/>
  <c r="X15" i="19"/>
  <c r="S21" i="19"/>
  <c r="S41" i="19" s="1"/>
  <c r="S42" i="19" s="1"/>
  <c r="S52" i="19" s="1"/>
  <c r="W21" i="19"/>
  <c r="W41" i="19" s="1"/>
  <c r="W42" i="19" s="1"/>
  <c r="W52" i="19" s="1"/>
  <c r="O27" i="19"/>
  <c r="Y26" i="19"/>
  <c r="X26" i="19"/>
  <c r="V41" i="19"/>
  <c r="V42" i="19" s="1"/>
  <c r="V52" i="19" s="1"/>
  <c r="Y32" i="19"/>
  <c r="X32" i="19"/>
  <c r="T41" i="19"/>
  <c r="T42" i="19" s="1"/>
  <c r="T52" i="19" s="1"/>
  <c r="Q21" i="19"/>
  <c r="Q41" i="19" s="1"/>
  <c r="Q42" i="19" s="1"/>
  <c r="Q52" i="19" s="1"/>
  <c r="U21" i="19"/>
  <c r="U41" i="19" s="1"/>
  <c r="U42" i="19" s="1"/>
  <c r="U52" i="19" s="1"/>
  <c r="O50" i="19"/>
  <c r="X49" i="19"/>
  <c r="Y49" i="19"/>
  <c r="Y17" i="19"/>
  <c r="Y35" i="19"/>
  <c r="Y46" i="19"/>
  <c r="X14" i="19"/>
  <c r="X19" i="19"/>
  <c r="X25" i="19"/>
  <c r="X31" i="19"/>
  <c r="X37" i="19"/>
  <c r="X48" i="19"/>
  <c r="Y14" i="19"/>
  <c r="X18" i="19"/>
  <c r="X24" i="19"/>
  <c r="X30" i="19"/>
  <c r="Y31" i="19"/>
  <c r="X36" i="19"/>
  <c r="O39" i="19"/>
  <c r="X47" i="19"/>
  <c r="Y48" i="19"/>
  <c r="X17" i="19"/>
  <c r="Y24" i="19"/>
  <c r="P33" i="18" l="1"/>
  <c r="P31" i="18"/>
  <c r="X21" i="19"/>
  <c r="Y21" i="19"/>
  <c r="X50" i="19"/>
  <c r="Y50" i="19"/>
  <c r="X39" i="19"/>
  <c r="Y39" i="19"/>
  <c r="O40" i="19"/>
  <c r="X27" i="19"/>
  <c r="Y27" i="19"/>
  <c r="P37" i="18"/>
  <c r="Q31" i="18"/>
  <c r="Q33" i="18" s="1"/>
  <c r="Y40" i="19" l="1"/>
  <c r="X40" i="19"/>
  <c r="O41" i="19"/>
  <c r="R31" i="18"/>
  <c r="R33" i="18" s="1"/>
  <c r="Q37" i="18"/>
  <c r="O42" i="19" l="1"/>
  <c r="Y41" i="19"/>
  <c r="X41" i="19"/>
  <c r="S31" i="18"/>
  <c r="S33" i="18" s="1"/>
  <c r="R37" i="18"/>
  <c r="X42" i="19" l="1"/>
  <c r="O52" i="19"/>
  <c r="Y42" i="19"/>
  <c r="S37" i="18"/>
  <c r="T31" i="18"/>
  <c r="T33" i="18" s="1"/>
  <c r="Y52" i="19" l="1"/>
  <c r="Y55" i="19"/>
  <c r="X52" i="19"/>
  <c r="O55" i="19"/>
  <c r="P55" i="19" s="1"/>
  <c r="Q55" i="19" s="1"/>
  <c r="R55" i="19" s="1"/>
  <c r="S55" i="19" s="1"/>
  <c r="T55" i="19" s="1"/>
  <c r="U55" i="19" s="1"/>
  <c r="V55" i="19" s="1"/>
  <c r="W55" i="19" s="1"/>
  <c r="X55" i="19" s="1"/>
  <c r="T37" i="18"/>
  <c r="U31" i="18"/>
  <c r="U33" i="18" s="1"/>
  <c r="V31" i="18" l="1"/>
  <c r="V33" i="18" s="1"/>
  <c r="U37" i="18"/>
  <c r="W31" i="18" l="1"/>
  <c r="W33" i="18" s="1"/>
  <c r="W37" i="18" s="1"/>
  <c r="V37" i="18"/>
  <c r="T100" i="6" l="1"/>
  <c r="U100" i="6"/>
  <c r="V100" i="6"/>
  <c r="W100" i="6"/>
  <c r="X100" i="6"/>
  <c r="Y100" i="6"/>
  <c r="Z100" i="6"/>
  <c r="AA100" i="6"/>
  <c r="AB100" i="6"/>
  <c r="AC100" i="6"/>
  <c r="AD100" i="6"/>
  <c r="T101" i="6"/>
  <c r="U101" i="6"/>
  <c r="V101" i="6"/>
  <c r="W101" i="6"/>
  <c r="X101" i="6"/>
  <c r="Y101" i="6"/>
  <c r="Z101" i="6"/>
  <c r="AA101" i="6"/>
  <c r="AB101" i="6"/>
  <c r="AC101" i="6"/>
  <c r="AD101" i="6"/>
  <c r="T102" i="6"/>
  <c r="U102" i="6"/>
  <c r="V102" i="6"/>
  <c r="W102" i="6"/>
  <c r="X102" i="6"/>
  <c r="Y102" i="6"/>
  <c r="Z102" i="6"/>
  <c r="AA102" i="6"/>
  <c r="AB102" i="6"/>
  <c r="AC102" i="6"/>
  <c r="AD102" i="6"/>
  <c r="T103" i="6"/>
  <c r="U103" i="6"/>
  <c r="V103" i="6"/>
  <c r="W103" i="6"/>
  <c r="X103" i="6"/>
  <c r="Y103" i="6"/>
  <c r="Z103" i="6"/>
  <c r="AA103" i="6"/>
  <c r="AB103" i="6"/>
  <c r="AC103" i="6"/>
  <c r="AD103" i="6"/>
  <c r="T104" i="6"/>
  <c r="U104" i="6"/>
  <c r="V104" i="6"/>
  <c r="W104" i="6"/>
  <c r="X104" i="6"/>
  <c r="Y104" i="6"/>
  <c r="Z104" i="6"/>
  <c r="AA104" i="6"/>
  <c r="AB104" i="6"/>
  <c r="AC104" i="6"/>
  <c r="AD104" i="6"/>
  <c r="T105" i="6"/>
  <c r="U105" i="6"/>
  <c r="V105" i="6"/>
  <c r="W105" i="6"/>
  <c r="X105" i="6"/>
  <c r="Y105" i="6"/>
  <c r="Z105" i="6"/>
  <c r="AA105" i="6"/>
  <c r="AB105" i="6"/>
  <c r="AC105" i="6"/>
  <c r="AD105" i="6"/>
  <c r="T106" i="6"/>
  <c r="U106" i="6"/>
  <c r="V106" i="6"/>
  <c r="W106" i="6"/>
  <c r="X106" i="6"/>
  <c r="Y106" i="6"/>
  <c r="Z106" i="6"/>
  <c r="AA106" i="6"/>
  <c r="AB106" i="6"/>
  <c r="AC106" i="6"/>
  <c r="AD106" i="6"/>
  <c r="T107" i="6"/>
  <c r="U107" i="6"/>
  <c r="V107" i="6"/>
  <c r="W107" i="6"/>
  <c r="X107" i="6"/>
  <c r="Y107" i="6"/>
  <c r="Z107" i="6"/>
  <c r="AA107" i="6"/>
  <c r="AB107" i="6"/>
  <c r="AC107" i="6"/>
  <c r="AD107" i="6"/>
  <c r="S101" i="6"/>
  <c r="S102" i="6"/>
  <c r="S103" i="6"/>
  <c r="S104" i="6"/>
  <c r="S105" i="6"/>
  <c r="S106" i="6"/>
  <c r="S107" i="6"/>
  <c r="S100" i="6"/>
  <c r="W83" i="6"/>
  <c r="AY83" i="6"/>
  <c r="BB83" i="6"/>
  <c r="V83" i="6"/>
  <c r="Y83" i="6"/>
  <c r="AB83" i="6"/>
  <c r="AC83" i="6"/>
  <c r="AD83" i="6"/>
  <c r="AW83" i="6"/>
  <c r="AX83" i="6"/>
  <c r="AZ83" i="6"/>
  <c r="BA83" i="6"/>
  <c r="BD83" i="6"/>
  <c r="BE83" i="6"/>
  <c r="BF83" i="6"/>
  <c r="AV13" i="6"/>
  <c r="AW13" i="6"/>
  <c r="AX13" i="6"/>
  <c r="AY13" i="6"/>
  <c r="AZ13" i="6"/>
  <c r="BA13" i="6"/>
  <c r="BB13" i="6"/>
  <c r="BC13" i="6"/>
  <c r="BD13" i="6"/>
  <c r="BE13" i="6"/>
  <c r="BF13" i="6"/>
  <c r="AU13" i="6"/>
  <c r="BF74" i="6"/>
  <c r="BE74" i="6"/>
  <c r="BD74" i="6"/>
  <c r="BC74" i="6"/>
  <c r="BB74" i="6"/>
  <c r="BA74" i="6"/>
  <c r="AZ74" i="6"/>
  <c r="AY74" i="6"/>
  <c r="AX74" i="6"/>
  <c r="AW74" i="6"/>
  <c r="AV74" i="6"/>
  <c r="AU74" i="6"/>
  <c r="BF65" i="6"/>
  <c r="BE65" i="6"/>
  <c r="BD65" i="6"/>
  <c r="BC65" i="6"/>
  <c r="BB65" i="6"/>
  <c r="BA65" i="6"/>
  <c r="AZ65" i="6"/>
  <c r="AY65" i="6"/>
  <c r="AX65" i="6"/>
  <c r="AW65" i="6"/>
  <c r="AV65" i="6"/>
  <c r="AU65" i="6"/>
  <c r="BF56" i="6"/>
  <c r="BE56" i="6"/>
  <c r="BD56" i="6"/>
  <c r="BC56" i="6"/>
  <c r="BB56" i="6"/>
  <c r="BA56" i="6"/>
  <c r="AZ56" i="6"/>
  <c r="AY56" i="6"/>
  <c r="AX56" i="6"/>
  <c r="AW56" i="6"/>
  <c r="AV56" i="6"/>
  <c r="AU56" i="6"/>
  <c r="BF47" i="6"/>
  <c r="BE47" i="6"/>
  <c r="BD47" i="6"/>
  <c r="BC47" i="6"/>
  <c r="BB47" i="6"/>
  <c r="BA47" i="6"/>
  <c r="AZ47" i="6"/>
  <c r="AY47" i="6"/>
  <c r="AX47" i="6"/>
  <c r="AW47" i="6"/>
  <c r="AV47" i="6"/>
  <c r="AU47" i="6"/>
  <c r="BF38" i="6"/>
  <c r="BE38" i="6"/>
  <c r="BD38" i="6"/>
  <c r="BC38" i="6"/>
  <c r="BB38" i="6"/>
  <c r="BA38" i="6"/>
  <c r="AZ38" i="6"/>
  <c r="AY38" i="6"/>
  <c r="AX38" i="6"/>
  <c r="AW38" i="6"/>
  <c r="AV38" i="6"/>
  <c r="AU38" i="6"/>
  <c r="BF29" i="6"/>
  <c r="BE29" i="6"/>
  <c r="BD29" i="6"/>
  <c r="BC29" i="6"/>
  <c r="BB29" i="6"/>
  <c r="BA29" i="6"/>
  <c r="AZ29" i="6"/>
  <c r="AY29" i="6"/>
  <c r="AX29" i="6"/>
  <c r="AW29" i="6"/>
  <c r="AV29" i="6"/>
  <c r="AU29" i="6"/>
  <c r="AV20" i="6"/>
  <c r="AW20" i="6"/>
  <c r="AX20" i="6"/>
  <c r="AY20" i="6"/>
  <c r="AZ20" i="6"/>
  <c r="BA20" i="6"/>
  <c r="BB20" i="6"/>
  <c r="BC20" i="6"/>
  <c r="BD20" i="6"/>
  <c r="BE20" i="6"/>
  <c r="BF20" i="6"/>
  <c r="AU20" i="6"/>
  <c r="D22" i="6"/>
  <c r="D23" i="6"/>
  <c r="D24" i="6"/>
  <c r="D25" i="6"/>
  <c r="D26" i="6"/>
  <c r="D27" i="6"/>
  <c r="D28" i="6"/>
  <c r="D30" i="6"/>
  <c r="D31" i="6"/>
  <c r="D32" i="6"/>
  <c r="D33" i="6"/>
  <c r="D34" i="6"/>
  <c r="D35" i="6"/>
  <c r="D36" i="6"/>
  <c r="D37" i="6"/>
  <c r="D39" i="6"/>
  <c r="D40" i="6"/>
  <c r="D41" i="6"/>
  <c r="D42" i="6"/>
  <c r="D43" i="6"/>
  <c r="D44" i="6"/>
  <c r="D45" i="6"/>
  <c r="D46" i="6"/>
  <c r="D48" i="6"/>
  <c r="D49" i="6"/>
  <c r="D50" i="6"/>
  <c r="D51" i="6"/>
  <c r="D52" i="6"/>
  <c r="D53" i="6"/>
  <c r="D54" i="6"/>
  <c r="D55" i="6"/>
  <c r="D57" i="6"/>
  <c r="D58" i="6"/>
  <c r="D59" i="6"/>
  <c r="D60" i="6"/>
  <c r="D61" i="6"/>
  <c r="D62" i="6"/>
  <c r="D63" i="6"/>
  <c r="D64" i="6"/>
  <c r="D66" i="6"/>
  <c r="D67" i="6"/>
  <c r="D68" i="6"/>
  <c r="D69" i="6"/>
  <c r="D70" i="6"/>
  <c r="D71" i="6"/>
  <c r="D72" i="6"/>
  <c r="D73" i="6"/>
  <c r="D75" i="6"/>
  <c r="D76" i="6"/>
  <c r="D77" i="6"/>
  <c r="D78" i="6"/>
  <c r="D79" i="6"/>
  <c r="D80" i="6"/>
  <c r="D81" i="6"/>
  <c r="D82" i="6"/>
  <c r="D84" i="6"/>
  <c r="D85" i="6"/>
  <c r="D86" i="6"/>
  <c r="D87" i="6"/>
  <c r="D88" i="6"/>
  <c r="D89" i="6"/>
  <c r="D90" i="6"/>
  <c r="D91" i="6"/>
  <c r="D21" i="6"/>
  <c r="C58" i="3"/>
  <c r="C59" i="3"/>
  <c r="C60" i="3"/>
  <c r="C61" i="3"/>
  <c r="C62" i="3"/>
  <c r="C19" i="3"/>
  <c r="C20" i="3"/>
  <c r="C25" i="3"/>
  <c r="C26" i="3"/>
  <c r="C27" i="3"/>
  <c r="C28" i="3"/>
  <c r="C29" i="3"/>
  <c r="C30" i="3"/>
  <c r="C31" i="3"/>
  <c r="C32" i="3"/>
  <c r="C33" i="3"/>
  <c r="C34" i="3"/>
  <c r="C35" i="3"/>
  <c r="C36" i="3"/>
  <c r="C37" i="3"/>
  <c r="C38" i="3"/>
  <c r="C39" i="3"/>
  <c r="C40" i="3"/>
  <c r="C41" i="3"/>
  <c r="C42" i="3"/>
  <c r="C43" i="3"/>
  <c r="C45" i="3"/>
  <c r="C46" i="3"/>
  <c r="C47" i="3"/>
  <c r="C48" i="3"/>
  <c r="C49" i="3"/>
  <c r="C51" i="3"/>
  <c r="C52" i="3"/>
  <c r="C53" i="3"/>
  <c r="C54" i="3"/>
  <c r="C55" i="3"/>
  <c r="C56" i="3"/>
  <c r="C57" i="3"/>
  <c r="C11" i="3"/>
  <c r="C12" i="3"/>
  <c r="C13" i="3"/>
  <c r="C14" i="3"/>
  <c r="C15" i="3"/>
  <c r="C16" i="3"/>
  <c r="C17" i="3"/>
  <c r="C18" i="3"/>
  <c r="C10" i="3"/>
  <c r="X83" i="6"/>
  <c r="U83" i="6"/>
  <c r="AD74" i="6"/>
  <c r="AC74" i="6"/>
  <c r="AB74" i="6"/>
  <c r="AA74" i="6"/>
  <c r="Z74" i="6"/>
  <c r="Y74" i="6"/>
  <c r="X74" i="6"/>
  <c r="W74" i="6"/>
  <c r="V74" i="6"/>
  <c r="U74" i="6"/>
  <c r="T74" i="6"/>
  <c r="S74" i="6"/>
  <c r="AD65" i="6"/>
  <c r="AC65" i="6"/>
  <c r="AB65" i="6"/>
  <c r="AA65" i="6"/>
  <c r="Z65" i="6"/>
  <c r="Y65" i="6"/>
  <c r="X65" i="6"/>
  <c r="W65" i="6"/>
  <c r="V65" i="6"/>
  <c r="U65" i="6"/>
  <c r="T65" i="6"/>
  <c r="S65" i="6"/>
  <c r="AD56" i="6"/>
  <c r="AC56" i="6"/>
  <c r="AB56" i="6"/>
  <c r="AA56" i="6"/>
  <c r="Z56" i="6"/>
  <c r="Y56" i="6"/>
  <c r="X56" i="6"/>
  <c r="W56" i="6"/>
  <c r="V56" i="6"/>
  <c r="U56" i="6"/>
  <c r="T56" i="6"/>
  <c r="S56" i="6"/>
  <c r="AD47" i="6"/>
  <c r="AC47" i="6"/>
  <c r="AB47" i="6"/>
  <c r="AA47" i="6"/>
  <c r="Z47" i="6"/>
  <c r="Y47" i="6"/>
  <c r="X47" i="6"/>
  <c r="W47" i="6"/>
  <c r="V47" i="6"/>
  <c r="U47" i="6"/>
  <c r="T47" i="6"/>
  <c r="S47" i="6"/>
  <c r="AD38" i="6"/>
  <c r="AC38" i="6"/>
  <c r="AB38" i="6"/>
  <c r="AA38" i="6"/>
  <c r="Z38" i="6"/>
  <c r="Y38" i="6"/>
  <c r="X38" i="6"/>
  <c r="W38" i="6"/>
  <c r="V38" i="6"/>
  <c r="U38" i="6"/>
  <c r="T38" i="6"/>
  <c r="S38" i="6"/>
  <c r="AD29" i="6"/>
  <c r="AC29" i="6"/>
  <c r="AB29" i="6"/>
  <c r="AA29" i="6"/>
  <c r="Z29" i="6"/>
  <c r="Y29" i="6"/>
  <c r="X29" i="6"/>
  <c r="W29" i="6"/>
  <c r="V29" i="6"/>
  <c r="U29" i="6"/>
  <c r="T29" i="6"/>
  <c r="S29" i="6"/>
  <c r="S20" i="6"/>
  <c r="S13" i="6"/>
  <c r="S95" i="6" s="1"/>
  <c r="T20" i="6"/>
  <c r="U20" i="6"/>
  <c r="V20" i="6"/>
  <c r="W20" i="6"/>
  <c r="X20" i="6"/>
  <c r="X93" i="6" s="1"/>
  <c r="X96" i="6" s="1"/>
  <c r="Y20" i="6"/>
  <c r="Z20" i="6"/>
  <c r="AA20" i="6"/>
  <c r="AB20" i="6"/>
  <c r="AC20" i="6"/>
  <c r="AD20" i="6"/>
  <c r="C80" i="15"/>
  <c r="E80" i="15"/>
  <c r="F80" i="15"/>
  <c r="G80" i="15"/>
  <c r="G28" i="16"/>
  <c r="G23" i="16"/>
  <c r="G18" i="16"/>
  <c r="G13" i="16"/>
  <c r="F13" i="16"/>
  <c r="BE93" i="6" l="1"/>
  <c r="AB93" i="6"/>
  <c r="AB96" i="6" s="1"/>
  <c r="F18" i="16"/>
  <c r="F23" i="16"/>
  <c r="F25" i="16" s="1"/>
  <c r="G25" i="16"/>
  <c r="AF54" i="6"/>
  <c r="AF60" i="6"/>
  <c r="AH15" i="6"/>
  <c r="AL15" i="6"/>
  <c r="AP15" i="6"/>
  <c r="AH16" i="6"/>
  <c r="AL16" i="6"/>
  <c r="AP16" i="6"/>
  <c r="AH17" i="6"/>
  <c r="AL17" i="6"/>
  <c r="AP17" i="6"/>
  <c r="AH18" i="6"/>
  <c r="AL18" i="6"/>
  <c r="AP18" i="6"/>
  <c r="AO18" i="6"/>
  <c r="AI15" i="6"/>
  <c r="AM15" i="6"/>
  <c r="AQ15" i="6"/>
  <c r="AI16" i="6"/>
  <c r="AM16" i="6"/>
  <c r="AQ16" i="6"/>
  <c r="AI17" i="6"/>
  <c r="AM17" i="6"/>
  <c r="AQ17" i="6"/>
  <c r="AI18" i="6"/>
  <c r="AM18" i="6"/>
  <c r="AQ18" i="6"/>
  <c r="AF15" i="6"/>
  <c r="AJ15" i="6"/>
  <c r="AN15" i="6"/>
  <c r="AF16" i="6"/>
  <c r="AJ16" i="6"/>
  <c r="AN16" i="6"/>
  <c r="AF17" i="6"/>
  <c r="AJ17" i="6"/>
  <c r="AN17" i="6"/>
  <c r="AF18" i="6"/>
  <c r="AJ18" i="6"/>
  <c r="AN18" i="6"/>
  <c r="AG15" i="6"/>
  <c r="AK15" i="6"/>
  <c r="AO15" i="6"/>
  <c r="AG16" i="6"/>
  <c r="AK16" i="6"/>
  <c r="AO16" i="6"/>
  <c r="AG17" i="6"/>
  <c r="AK17" i="6"/>
  <c r="AO17" i="6"/>
  <c r="AG18" i="6"/>
  <c r="AK18" i="6"/>
  <c r="AK14" i="6"/>
  <c r="AH14" i="6"/>
  <c r="AQ14" i="6"/>
  <c r="AG14" i="6"/>
  <c r="AP14" i="6"/>
  <c r="AJ14" i="6"/>
  <c r="AM14" i="6"/>
  <c r="AO14" i="6"/>
  <c r="AI14" i="6"/>
  <c r="AN14" i="6"/>
  <c r="AF14" i="6"/>
  <c r="AL14" i="6"/>
  <c r="AD93" i="6"/>
  <c r="AD96" i="6" s="1"/>
  <c r="AM85" i="6"/>
  <c r="F28" i="16"/>
  <c r="E23" i="16"/>
  <c r="E28" i="16"/>
  <c r="E18" i="16"/>
  <c r="E25" i="16" s="1"/>
  <c r="AJ71" i="6"/>
  <c r="AW93" i="6"/>
  <c r="AG84" i="6"/>
  <c r="AH70" i="6"/>
  <c r="AI57" i="6"/>
  <c r="AJ48" i="6"/>
  <c r="AJ30" i="6"/>
  <c r="AI23" i="6"/>
  <c r="AH36" i="6"/>
  <c r="AN41" i="6"/>
  <c r="AL51" i="6"/>
  <c r="AJ79" i="6"/>
  <c r="AH60" i="6"/>
  <c r="AG79" i="6"/>
  <c r="AI66" i="6"/>
  <c r="AG43" i="6"/>
  <c r="AQ25" i="6"/>
  <c r="AQ45" i="6"/>
  <c r="AJ40" i="6"/>
  <c r="AG64" i="6"/>
  <c r="AG67" i="6"/>
  <c r="AI89" i="6"/>
  <c r="AF91" i="6"/>
  <c r="AG82" i="6"/>
  <c r="AH73" i="6"/>
  <c r="AH64" i="6"/>
  <c r="AI51" i="6"/>
  <c r="AG42" i="6"/>
  <c r="AI33" i="6"/>
  <c r="AM22" i="6"/>
  <c r="AP37" i="6"/>
  <c r="AH35" i="6"/>
  <c r="AJ45" i="6"/>
  <c r="AF44" i="6"/>
  <c r="AI41" i="6"/>
  <c r="AQ48" i="6"/>
  <c r="AH53" i="6"/>
  <c r="AL49" i="6"/>
  <c r="AG62" i="6"/>
  <c r="AO73" i="6"/>
  <c r="AK69" i="6"/>
  <c r="AF67" i="6"/>
  <c r="AF78" i="6"/>
  <c r="AQ86" i="6"/>
  <c r="AL22" i="6"/>
  <c r="AL37" i="6"/>
  <c r="AP33" i="6"/>
  <c r="AI45" i="6"/>
  <c r="AN42" i="6"/>
  <c r="AF41" i="6"/>
  <c r="AM48" i="6"/>
  <c r="AP52" i="6"/>
  <c r="AL57" i="6"/>
  <c r="AJ61" i="6"/>
  <c r="AN72" i="6"/>
  <c r="AK68" i="6"/>
  <c r="AQ91" i="6"/>
  <c r="AH61" i="6"/>
  <c r="AI52" i="6"/>
  <c r="AF25" i="6"/>
  <c r="AM27" i="6"/>
  <c r="AL32" i="6"/>
  <c r="AM44" i="6"/>
  <c r="AH55" i="6"/>
  <c r="AN67" i="6"/>
  <c r="AJ68" i="6"/>
  <c r="AG69" i="6"/>
  <c r="AG71" i="6"/>
  <c r="AO71" i="6"/>
  <c r="AK72" i="6"/>
  <c r="AK73" i="6"/>
  <c r="AO58" i="6"/>
  <c r="AK60" i="6"/>
  <c r="AG61" i="6"/>
  <c r="AO61" i="6"/>
  <c r="AF64" i="6"/>
  <c r="AN64" i="6"/>
  <c r="AK57" i="6"/>
  <c r="AH49" i="6"/>
  <c r="AN82" i="6"/>
  <c r="AF87" i="6"/>
  <c r="AG78" i="6"/>
  <c r="AH69" i="6"/>
  <c r="AI55" i="6"/>
  <c r="AG46" i="6"/>
  <c r="AI37" i="6"/>
  <c r="AF28" i="6"/>
  <c r="AQ85" i="6"/>
  <c r="AM23" i="6"/>
  <c r="AQ27" i="6"/>
  <c r="AL36" i="6"/>
  <c r="AP32" i="6"/>
  <c r="AF46" i="6"/>
  <c r="AN44" i="6"/>
  <c r="AQ41" i="6"/>
  <c r="AM40" i="6"/>
  <c r="AL55" i="6"/>
  <c r="AP51" i="6"/>
  <c r="AO64" i="6"/>
  <c r="AN60" i="6"/>
  <c r="AF72" i="6"/>
  <c r="AO67" i="6"/>
  <c r="AN80" i="6"/>
  <c r="AM90" i="6"/>
  <c r="AJ80" i="6"/>
  <c r="AF79" i="6"/>
  <c r="AN76" i="6"/>
  <c r="AM91" i="6"/>
  <c r="AI90" i="6"/>
  <c r="AQ87" i="6"/>
  <c r="AM86" i="6"/>
  <c r="AI85" i="6"/>
  <c r="AF90" i="6"/>
  <c r="AF86" i="6"/>
  <c r="AG81" i="6"/>
  <c r="AG77" i="6"/>
  <c r="AH72" i="6"/>
  <c r="AH68" i="6"/>
  <c r="AH63" i="6"/>
  <c r="AH59" i="6"/>
  <c r="AI54" i="6"/>
  <c r="AI50" i="6"/>
  <c r="AG45" i="6"/>
  <c r="AG41" i="6"/>
  <c r="AI36" i="6"/>
  <c r="AI32" i="6"/>
  <c r="AF27" i="6"/>
  <c r="AF23" i="6"/>
  <c r="AQ22" i="6"/>
  <c r="AI22" i="6"/>
  <c r="AI27" i="6"/>
  <c r="AM25" i="6"/>
  <c r="AH37" i="6"/>
  <c r="AP35" i="6"/>
  <c r="AL33" i="6"/>
  <c r="AH32" i="6"/>
  <c r="AN46" i="6"/>
  <c r="AN45" i="6"/>
  <c r="AF45" i="6"/>
  <c r="AJ44" i="6"/>
  <c r="AJ42" i="6"/>
  <c r="AM41" i="6"/>
  <c r="AQ40" i="6"/>
  <c r="AI40" i="6"/>
  <c r="AI48" i="6"/>
  <c r="AP53" i="6"/>
  <c r="AL52" i="6"/>
  <c r="AH51" i="6"/>
  <c r="AP57" i="6"/>
  <c r="AH57" i="6"/>
  <c r="AK64" i="6"/>
  <c r="AO62" i="6"/>
  <c r="AN61" i="6"/>
  <c r="AF61" i="6"/>
  <c r="AJ60" i="6"/>
  <c r="AK58" i="6"/>
  <c r="AG73" i="6"/>
  <c r="AJ72" i="6"/>
  <c r="AN71" i="6"/>
  <c r="AF71" i="6"/>
  <c r="AO68" i="6"/>
  <c r="AG68" i="6"/>
  <c r="AK67" i="6"/>
  <c r="AO75" i="6"/>
  <c r="AJ82" i="6"/>
  <c r="AF80" i="6"/>
  <c r="AN78" i="6"/>
  <c r="AJ76" i="6"/>
  <c r="AI91" i="6"/>
  <c r="AQ89" i="6"/>
  <c r="AM87" i="6"/>
  <c r="AI86" i="6"/>
  <c r="AF89" i="6"/>
  <c r="AF85" i="6"/>
  <c r="AG80" i="6"/>
  <c r="AG76" i="6"/>
  <c r="AH71" i="6"/>
  <c r="AH67" i="6"/>
  <c r="AH62" i="6"/>
  <c r="AH58" i="6"/>
  <c r="AI53" i="6"/>
  <c r="AI49" i="6"/>
  <c r="AG44" i="6"/>
  <c r="AG40" i="6"/>
  <c r="AI35" i="6"/>
  <c r="AF22" i="6"/>
  <c r="AQ23" i="6"/>
  <c r="AP22" i="6"/>
  <c r="AH22" i="6"/>
  <c r="AI25" i="6"/>
  <c r="AP36" i="6"/>
  <c r="AL35" i="6"/>
  <c r="AH33" i="6"/>
  <c r="AJ46" i="6"/>
  <c r="AM45" i="6"/>
  <c r="AQ44" i="6"/>
  <c r="AI44" i="6"/>
  <c r="AF42" i="6"/>
  <c r="AJ41" i="6"/>
  <c r="AN40" i="6"/>
  <c r="AF40" i="6"/>
  <c r="AP55" i="6"/>
  <c r="AL53" i="6"/>
  <c r="AH52" i="6"/>
  <c r="AP49" i="6"/>
  <c r="AO57" i="6"/>
  <c r="AG57" i="6"/>
  <c r="AJ64" i="6"/>
  <c r="AK62" i="6"/>
  <c r="AK61" i="6"/>
  <c r="AO60" i="6"/>
  <c r="AG60" i="6"/>
  <c r="AG58" i="6"/>
  <c r="AO72" i="6"/>
  <c r="AG72" i="6"/>
  <c r="AK71" i="6"/>
  <c r="AO69" i="6"/>
  <c r="AN68" i="6"/>
  <c r="AF68" i="6"/>
  <c r="AJ67" i="6"/>
  <c r="AK75" i="6"/>
  <c r="AF82" i="6"/>
  <c r="AN79" i="6"/>
  <c r="AJ78" i="6"/>
  <c r="AF76" i="6"/>
  <c r="AQ90" i="6"/>
  <c r="AM89" i="6"/>
  <c r="AI87" i="6"/>
  <c r="AQ84" i="6"/>
  <c r="AM84" i="6"/>
  <c r="AI84" i="6"/>
  <c r="AP91" i="6"/>
  <c r="AL91" i="6"/>
  <c r="AH91" i="6"/>
  <c r="AP90" i="6"/>
  <c r="AL90" i="6"/>
  <c r="AH90" i="6"/>
  <c r="AP89" i="6"/>
  <c r="AL89" i="6"/>
  <c r="AH89" i="6"/>
  <c r="AP87" i="6"/>
  <c r="AL87" i="6"/>
  <c r="AH87" i="6"/>
  <c r="AP86" i="6"/>
  <c r="AL86" i="6"/>
  <c r="AH86" i="6"/>
  <c r="AP85" i="6"/>
  <c r="AL85" i="6"/>
  <c r="AH85" i="6"/>
  <c r="AF84" i="6"/>
  <c r="AP84" i="6"/>
  <c r="AL84" i="6"/>
  <c r="AH84" i="6"/>
  <c r="AO91" i="6"/>
  <c r="AK91" i="6"/>
  <c r="AG91" i="6"/>
  <c r="AO90" i="6"/>
  <c r="AK90" i="6"/>
  <c r="AG90" i="6"/>
  <c r="AO89" i="6"/>
  <c r="AK89" i="6"/>
  <c r="AG89" i="6"/>
  <c r="AO87" i="6"/>
  <c r="AK87" i="6"/>
  <c r="AG87" i="6"/>
  <c r="AO86" i="6"/>
  <c r="AK86" i="6"/>
  <c r="AG86" i="6"/>
  <c r="AO85" i="6"/>
  <c r="AK85" i="6"/>
  <c r="AG85" i="6"/>
  <c r="AN84" i="6"/>
  <c r="AJ84" i="6"/>
  <c r="AO84" i="6"/>
  <c r="AK84" i="6"/>
  <c r="AN91" i="6"/>
  <c r="AJ91" i="6"/>
  <c r="AN90" i="6"/>
  <c r="AJ90" i="6"/>
  <c r="AN89" i="6"/>
  <c r="AJ89" i="6"/>
  <c r="AN87" i="6"/>
  <c r="AJ87" i="6"/>
  <c r="AN86" i="6"/>
  <c r="AJ86" i="6"/>
  <c r="AN85" i="6"/>
  <c r="AJ85" i="6"/>
  <c r="AF77" i="6"/>
  <c r="AN75" i="6"/>
  <c r="AJ75" i="6"/>
  <c r="AQ82" i="6"/>
  <c r="AM82" i="6"/>
  <c r="AI82" i="6"/>
  <c r="AQ81" i="6"/>
  <c r="AM81" i="6"/>
  <c r="AI81" i="6"/>
  <c r="AQ80" i="6"/>
  <c r="AM80" i="6"/>
  <c r="AI80" i="6"/>
  <c r="AQ79" i="6"/>
  <c r="AM79" i="6"/>
  <c r="AI79" i="6"/>
  <c r="AQ78" i="6"/>
  <c r="AM78" i="6"/>
  <c r="AI78" i="6"/>
  <c r="AQ77" i="6"/>
  <c r="AM77" i="6"/>
  <c r="AI77" i="6"/>
  <c r="AQ76" i="6"/>
  <c r="AM76" i="6"/>
  <c r="AI76" i="6"/>
  <c r="AN81" i="6"/>
  <c r="AJ81" i="6"/>
  <c r="AF81" i="6"/>
  <c r="AN77" i="6"/>
  <c r="AQ75" i="6"/>
  <c r="AM75" i="6"/>
  <c r="AP82" i="6"/>
  <c r="AL82" i="6"/>
  <c r="AH82" i="6"/>
  <c r="AP81" i="6"/>
  <c r="AL81" i="6"/>
  <c r="AH81" i="6"/>
  <c r="AP80" i="6"/>
  <c r="AL80" i="6"/>
  <c r="AH80" i="6"/>
  <c r="AP79" i="6"/>
  <c r="AL79" i="6"/>
  <c r="AH79" i="6"/>
  <c r="AP78" i="6"/>
  <c r="AL78" i="6"/>
  <c r="AH78" i="6"/>
  <c r="AP77" i="6"/>
  <c r="AL77" i="6"/>
  <c r="AH77" i="6"/>
  <c r="AP76" i="6"/>
  <c r="AL76" i="6"/>
  <c r="AH76" i="6"/>
  <c r="AJ77" i="6"/>
  <c r="AP75" i="6"/>
  <c r="AL75" i="6"/>
  <c r="AO82" i="6"/>
  <c r="AK82" i="6"/>
  <c r="AO81" i="6"/>
  <c r="AK81" i="6"/>
  <c r="AO80" i="6"/>
  <c r="AK80" i="6"/>
  <c r="AO79" i="6"/>
  <c r="AK79" i="6"/>
  <c r="AO78" i="6"/>
  <c r="AK78" i="6"/>
  <c r="AO77" i="6"/>
  <c r="AK77" i="6"/>
  <c r="AO76" i="6"/>
  <c r="AK76" i="6"/>
  <c r="AK70" i="6"/>
  <c r="AO66" i="6"/>
  <c r="AK66" i="6"/>
  <c r="AG66" i="6"/>
  <c r="AN73" i="6"/>
  <c r="AJ73" i="6"/>
  <c r="AF73" i="6"/>
  <c r="AF66" i="6"/>
  <c r="AN66" i="6"/>
  <c r="AJ66" i="6"/>
  <c r="AQ73" i="6"/>
  <c r="AM73" i="6"/>
  <c r="AI73" i="6"/>
  <c r="AQ72" i="6"/>
  <c r="AM72" i="6"/>
  <c r="AI72" i="6"/>
  <c r="AQ71" i="6"/>
  <c r="AM71" i="6"/>
  <c r="AI71" i="6"/>
  <c r="AQ70" i="6"/>
  <c r="AM70" i="6"/>
  <c r="AI70" i="6"/>
  <c r="AQ69" i="6"/>
  <c r="AM69" i="6"/>
  <c r="AI69" i="6"/>
  <c r="AQ68" i="6"/>
  <c r="AM68" i="6"/>
  <c r="AI68" i="6"/>
  <c r="AQ67" i="6"/>
  <c r="AM67" i="6"/>
  <c r="AI67" i="6"/>
  <c r="AP66" i="6"/>
  <c r="AL66" i="6"/>
  <c r="AH66" i="6"/>
  <c r="AO70" i="6"/>
  <c r="AG70" i="6"/>
  <c r="AN70" i="6"/>
  <c r="AJ70" i="6"/>
  <c r="AF70" i="6"/>
  <c r="AN69" i="6"/>
  <c r="AJ69" i="6"/>
  <c r="AF69" i="6"/>
  <c r="AQ66" i="6"/>
  <c r="AM66" i="6"/>
  <c r="AP73" i="6"/>
  <c r="AL73" i="6"/>
  <c r="AP72" i="6"/>
  <c r="AL72" i="6"/>
  <c r="AP71" i="6"/>
  <c r="AL71" i="6"/>
  <c r="AP70" i="6"/>
  <c r="AL70" i="6"/>
  <c r="AP69" i="6"/>
  <c r="AL69" i="6"/>
  <c r="AP68" i="6"/>
  <c r="AL68" i="6"/>
  <c r="AP67" i="6"/>
  <c r="AL67" i="6"/>
  <c r="AN63" i="6"/>
  <c r="AN62" i="6"/>
  <c r="AN59" i="6"/>
  <c r="AF59" i="6"/>
  <c r="AF58" i="6"/>
  <c r="AF57" i="6"/>
  <c r="AN57" i="6"/>
  <c r="AJ57" i="6"/>
  <c r="AQ64" i="6"/>
  <c r="AM64" i="6"/>
  <c r="AI64" i="6"/>
  <c r="AQ63" i="6"/>
  <c r="AM63" i="6"/>
  <c r="AI63" i="6"/>
  <c r="AQ62" i="6"/>
  <c r="AM62" i="6"/>
  <c r="AI62" i="6"/>
  <c r="AQ61" i="6"/>
  <c r="AM61" i="6"/>
  <c r="AI61" i="6"/>
  <c r="AQ60" i="6"/>
  <c r="AM60" i="6"/>
  <c r="AI60" i="6"/>
  <c r="AQ59" i="6"/>
  <c r="AM59" i="6"/>
  <c r="AI59" i="6"/>
  <c r="AQ58" i="6"/>
  <c r="AM58" i="6"/>
  <c r="AI58" i="6"/>
  <c r="AO63" i="6"/>
  <c r="AK63" i="6"/>
  <c r="AG63" i="6"/>
  <c r="AO59" i="6"/>
  <c r="AK59" i="6"/>
  <c r="AG59" i="6"/>
  <c r="V93" i="6"/>
  <c r="V96" i="6" s="1"/>
  <c r="V108" i="6" s="1"/>
  <c r="AJ63" i="6"/>
  <c r="AF63" i="6"/>
  <c r="AJ62" i="6"/>
  <c r="AF62" i="6"/>
  <c r="AJ59" i="6"/>
  <c r="AN58" i="6"/>
  <c r="AJ58" i="6"/>
  <c r="AQ57" i="6"/>
  <c r="AM57" i="6"/>
  <c r="AP64" i="6"/>
  <c r="AL64" i="6"/>
  <c r="AP63" i="6"/>
  <c r="AL63" i="6"/>
  <c r="AP62" i="6"/>
  <c r="AL62" i="6"/>
  <c r="AP61" i="6"/>
  <c r="AL61" i="6"/>
  <c r="AP60" i="6"/>
  <c r="AL60" i="6"/>
  <c r="AP59" i="6"/>
  <c r="AL59" i="6"/>
  <c r="AP58" i="6"/>
  <c r="AL58" i="6"/>
  <c r="AN43" i="6"/>
  <c r="AJ43" i="6"/>
  <c r="AF43" i="6"/>
  <c r="AM46" i="6"/>
  <c r="AQ43" i="6"/>
  <c r="AI43" i="6"/>
  <c r="AM42" i="6"/>
  <c r="AI42" i="6"/>
  <c r="AP46" i="6"/>
  <c r="AL46" i="6"/>
  <c r="AH46" i="6"/>
  <c r="AP45" i="6"/>
  <c r="AL45" i="6"/>
  <c r="AH45" i="6"/>
  <c r="AP44" i="6"/>
  <c r="AL44" i="6"/>
  <c r="AH44" i="6"/>
  <c r="AP43" i="6"/>
  <c r="AL43" i="6"/>
  <c r="AH43" i="6"/>
  <c r="AP42" i="6"/>
  <c r="AL42" i="6"/>
  <c r="AH42" i="6"/>
  <c r="AP41" i="6"/>
  <c r="AL41" i="6"/>
  <c r="AH41" i="6"/>
  <c r="AP40" i="6"/>
  <c r="AL40" i="6"/>
  <c r="AH40" i="6"/>
  <c r="AQ46" i="6"/>
  <c r="AI46" i="6"/>
  <c r="AM43" i="6"/>
  <c r="AQ42" i="6"/>
  <c r="AO46" i="6"/>
  <c r="AK46" i="6"/>
  <c r="AO45" i="6"/>
  <c r="AK45" i="6"/>
  <c r="AO44" i="6"/>
  <c r="AK44" i="6"/>
  <c r="AO43" i="6"/>
  <c r="AK43" i="6"/>
  <c r="AO42" i="6"/>
  <c r="AK42" i="6"/>
  <c r="AO41" i="6"/>
  <c r="AK41" i="6"/>
  <c r="AO40" i="6"/>
  <c r="AK40" i="6"/>
  <c r="AL50" i="6"/>
  <c r="AP48" i="6"/>
  <c r="AL48" i="6"/>
  <c r="AH48" i="6"/>
  <c r="AO55" i="6"/>
  <c r="AK55" i="6"/>
  <c r="AG55" i="6"/>
  <c r="AO54" i="6"/>
  <c r="AK54" i="6"/>
  <c r="AG54" i="6"/>
  <c r="AO53" i="6"/>
  <c r="AK53" i="6"/>
  <c r="AG53" i="6"/>
  <c r="AO52" i="6"/>
  <c r="AK52" i="6"/>
  <c r="AG52" i="6"/>
  <c r="AO51" i="6"/>
  <c r="AK51" i="6"/>
  <c r="AG51" i="6"/>
  <c r="AO50" i="6"/>
  <c r="AK50" i="6"/>
  <c r="AG50" i="6"/>
  <c r="AO49" i="6"/>
  <c r="AK49" i="6"/>
  <c r="AG49" i="6"/>
  <c r="AP54" i="6"/>
  <c r="AL54" i="6"/>
  <c r="AH54" i="6"/>
  <c r="AO48" i="6"/>
  <c r="AK48" i="6"/>
  <c r="AG48" i="6"/>
  <c r="AN55" i="6"/>
  <c r="AJ55" i="6"/>
  <c r="AF55" i="6"/>
  <c r="AN54" i="6"/>
  <c r="AJ54" i="6"/>
  <c r="AN53" i="6"/>
  <c r="AJ53" i="6"/>
  <c r="AF53" i="6"/>
  <c r="AN52" i="6"/>
  <c r="AJ52" i="6"/>
  <c r="AF52" i="6"/>
  <c r="AN51" i="6"/>
  <c r="AJ51" i="6"/>
  <c r="AF51" i="6"/>
  <c r="AN50" i="6"/>
  <c r="AJ50" i="6"/>
  <c r="AF50" i="6"/>
  <c r="AN49" i="6"/>
  <c r="AJ49" i="6"/>
  <c r="AF49" i="6"/>
  <c r="AP50" i="6"/>
  <c r="AH50" i="6"/>
  <c r="AF48" i="6"/>
  <c r="AN48" i="6"/>
  <c r="AQ55" i="6"/>
  <c r="AM55" i="6"/>
  <c r="AQ54" i="6"/>
  <c r="AM54" i="6"/>
  <c r="AQ53" i="6"/>
  <c r="AM53" i="6"/>
  <c r="AQ52" i="6"/>
  <c r="AM52" i="6"/>
  <c r="AQ51" i="6"/>
  <c r="AM51" i="6"/>
  <c r="AQ50" i="6"/>
  <c r="AM50" i="6"/>
  <c r="AQ49" i="6"/>
  <c r="AM49" i="6"/>
  <c r="AM30" i="6"/>
  <c r="AP30" i="6"/>
  <c r="AL30" i="6"/>
  <c r="AH30" i="6"/>
  <c r="AO37" i="6"/>
  <c r="AK37" i="6"/>
  <c r="AG37" i="6"/>
  <c r="AO36" i="6"/>
  <c r="AK36" i="6"/>
  <c r="AG36" i="6"/>
  <c r="AO35" i="6"/>
  <c r="AK35" i="6"/>
  <c r="AG35" i="6"/>
  <c r="AO33" i="6"/>
  <c r="AK33" i="6"/>
  <c r="AG33" i="6"/>
  <c r="AO32" i="6"/>
  <c r="AK32" i="6"/>
  <c r="AG32" i="6"/>
  <c r="AF30" i="6"/>
  <c r="AO30" i="6"/>
  <c r="AK30" i="6"/>
  <c r="AG30" i="6"/>
  <c r="AN37" i="6"/>
  <c r="AJ37" i="6"/>
  <c r="AF37" i="6"/>
  <c r="AN36" i="6"/>
  <c r="AJ36" i="6"/>
  <c r="AF36" i="6"/>
  <c r="AN35" i="6"/>
  <c r="AJ35" i="6"/>
  <c r="AF35" i="6"/>
  <c r="AN33" i="6"/>
  <c r="AJ33" i="6"/>
  <c r="AF33" i="6"/>
  <c r="AN32" i="6"/>
  <c r="AJ32" i="6"/>
  <c r="AF32" i="6"/>
  <c r="AQ30" i="6"/>
  <c r="AI30" i="6"/>
  <c r="AN30" i="6"/>
  <c r="AQ37" i="6"/>
  <c r="AM37" i="6"/>
  <c r="AQ36" i="6"/>
  <c r="AM36" i="6"/>
  <c r="AQ35" i="6"/>
  <c r="AM35" i="6"/>
  <c r="AQ33" i="6"/>
  <c r="AM33" i="6"/>
  <c r="AQ32" i="6"/>
  <c r="AM32" i="6"/>
  <c r="AQ28" i="6"/>
  <c r="AM28" i="6"/>
  <c r="AI28" i="6"/>
  <c r="AP23" i="6"/>
  <c r="AL23" i="6"/>
  <c r="AH23" i="6"/>
  <c r="AP28" i="6"/>
  <c r="AL28" i="6"/>
  <c r="AH28" i="6"/>
  <c r="AP27" i="6"/>
  <c r="AL27" i="6"/>
  <c r="AH27" i="6"/>
  <c r="AP25" i="6"/>
  <c r="AL25" i="6"/>
  <c r="AH25" i="6"/>
  <c r="AO23" i="6"/>
  <c r="AK23" i="6"/>
  <c r="AG23" i="6"/>
  <c r="AO22" i="6"/>
  <c r="AK22" i="6"/>
  <c r="AG22" i="6"/>
  <c r="AO28" i="6"/>
  <c r="AK28" i="6"/>
  <c r="AG28" i="6"/>
  <c r="AO27" i="6"/>
  <c r="AK27" i="6"/>
  <c r="AG27" i="6"/>
  <c r="AO25" i="6"/>
  <c r="AK25" i="6"/>
  <c r="AG25" i="6"/>
  <c r="AN23" i="6"/>
  <c r="AJ23" i="6"/>
  <c r="AN22" i="6"/>
  <c r="AJ22" i="6"/>
  <c r="AN28" i="6"/>
  <c r="AJ28" i="6"/>
  <c r="AN27" i="6"/>
  <c r="AJ27" i="6"/>
  <c r="AN25" i="6"/>
  <c r="AJ25" i="6"/>
  <c r="BF93" i="6"/>
  <c r="BB93" i="6"/>
  <c r="AX93" i="6"/>
  <c r="W93" i="6"/>
  <c r="W96" i="6" s="1"/>
  <c r="BA93" i="6"/>
  <c r="AY93" i="6"/>
  <c r="BD93" i="6"/>
  <c r="AZ93" i="6"/>
  <c r="AB108" i="6"/>
  <c r="X108" i="6"/>
  <c r="AC93" i="6"/>
  <c r="AC96" i="6" s="1"/>
  <c r="AC108" i="6" s="1"/>
  <c r="Y93" i="6"/>
  <c r="Y96" i="6" s="1"/>
  <c r="Y108" i="6" s="1"/>
  <c r="U93" i="6"/>
  <c r="U96" i="6" s="1"/>
  <c r="U108" i="6" s="1"/>
  <c r="AD108" i="6"/>
  <c r="H80" i="15"/>
  <c r="E13" i="16"/>
  <c r="AG13" i="6" l="1"/>
  <c r="AG95" i="6" s="1"/>
  <c r="AL13" i="6"/>
  <c r="AL95" i="6" s="1"/>
  <c r="AO13" i="6"/>
  <c r="AO95" i="6" s="1"/>
  <c r="BK17" i="6"/>
  <c r="BK14" i="6"/>
  <c r="AF13" i="6"/>
  <c r="AF95" i="6" s="1"/>
  <c r="AM13" i="6"/>
  <c r="AM95" i="6" s="1"/>
  <c r="AQ13" i="6"/>
  <c r="AQ95" i="6" s="1"/>
  <c r="BK18" i="6"/>
  <c r="AN13" i="6"/>
  <c r="AN95" i="6" s="1"/>
  <c r="AJ13" i="6"/>
  <c r="AJ95" i="6" s="1"/>
  <c r="AH13" i="6"/>
  <c r="AH95" i="6" s="1"/>
  <c r="BK15" i="6"/>
  <c r="AI13" i="6"/>
  <c r="AI95" i="6" s="1"/>
  <c r="AP13" i="6"/>
  <c r="AP95" i="6" s="1"/>
  <c r="AK13" i="6"/>
  <c r="AK95" i="6" s="1"/>
  <c r="BK16" i="6"/>
  <c r="BK62" i="6"/>
  <c r="BK51" i="6"/>
  <c r="BK55" i="6"/>
  <c r="BK59" i="6"/>
  <c r="BK69" i="6"/>
  <c r="BK85" i="6"/>
  <c r="BK80" i="6"/>
  <c r="BK61" i="6"/>
  <c r="BK86" i="6"/>
  <c r="BK79" i="6"/>
  <c r="BK32" i="6"/>
  <c r="BK36" i="6"/>
  <c r="BK35" i="6"/>
  <c r="BK50" i="6"/>
  <c r="BK54" i="6"/>
  <c r="BK77" i="6"/>
  <c r="BK68" i="6"/>
  <c r="BK89" i="6"/>
  <c r="BK90" i="6"/>
  <c r="BK72" i="6"/>
  <c r="BK46" i="6"/>
  <c r="BK87" i="6"/>
  <c r="BK41" i="6"/>
  <c r="BK78" i="6"/>
  <c r="BK60" i="6"/>
  <c r="BK30" i="6"/>
  <c r="BK49" i="6"/>
  <c r="BK53" i="6"/>
  <c r="BK43" i="6"/>
  <c r="BK63" i="6"/>
  <c r="BK57" i="6"/>
  <c r="BK66" i="6"/>
  <c r="BK82" i="6"/>
  <c r="BK42" i="6"/>
  <c r="BK71" i="6"/>
  <c r="BK23" i="6"/>
  <c r="BK64" i="6"/>
  <c r="BK25" i="6"/>
  <c r="BK67" i="6"/>
  <c r="BK44" i="6"/>
  <c r="BK91" i="6"/>
  <c r="BK33" i="6"/>
  <c r="BK37" i="6"/>
  <c r="BK48" i="6"/>
  <c r="BK52" i="6"/>
  <c r="BK58" i="6"/>
  <c r="BK70" i="6"/>
  <c r="BK73" i="6"/>
  <c r="BK81" i="6"/>
  <c r="BK84" i="6"/>
  <c r="BK76" i="6"/>
  <c r="BK40" i="6"/>
  <c r="BK22" i="6"/>
  <c r="BK45" i="6"/>
  <c r="BK27" i="6"/>
  <c r="BK28" i="6"/>
  <c r="W108" i="6"/>
  <c r="AF65" i="6"/>
  <c r="AQ106" i="6"/>
  <c r="AN107" i="6"/>
  <c r="AK102" i="6"/>
  <c r="AJ106" i="6"/>
  <c r="AL107" i="6"/>
  <c r="AK106" i="6"/>
  <c r="AJ102" i="6"/>
  <c r="AI106" i="6"/>
  <c r="AQ102" i="6"/>
  <c r="AQ107" i="6"/>
  <c r="AP107" i="6"/>
  <c r="AP102" i="6"/>
  <c r="AP106" i="6"/>
  <c r="AO56" i="6"/>
  <c r="AO107" i="6"/>
  <c r="AO102" i="6"/>
  <c r="AO106" i="6"/>
  <c r="AN102" i="6"/>
  <c r="AN65" i="6"/>
  <c r="AN106" i="6"/>
  <c r="AM102" i="6"/>
  <c r="AM107" i="6"/>
  <c r="AM106" i="6"/>
  <c r="AL102" i="6"/>
  <c r="AL106" i="6"/>
  <c r="AK107" i="6"/>
  <c r="AJ47" i="6"/>
  <c r="AJ107" i="6"/>
  <c r="AI102" i="6"/>
  <c r="AI107" i="6"/>
  <c r="AG102" i="6"/>
  <c r="AH107" i="6"/>
  <c r="AH102" i="6"/>
  <c r="AH106" i="6"/>
  <c r="AG107" i="6"/>
  <c r="AG106" i="6"/>
  <c r="AF107" i="6"/>
  <c r="AF102" i="6"/>
  <c r="AF106" i="6"/>
  <c r="AJ74" i="6"/>
  <c r="AJ56" i="6"/>
  <c r="AL65" i="6"/>
  <c r="AK47" i="6"/>
  <c r="AN74" i="6"/>
  <c r="AM47" i="6"/>
  <c r="AH47" i="6"/>
  <c r="AF56" i="6"/>
  <c r="AJ65" i="6"/>
  <c r="AN56" i="6"/>
  <c r="AO47" i="6"/>
  <c r="AG65" i="6"/>
  <c r="AM74" i="6"/>
  <c r="AQ56" i="6"/>
  <c r="AQ74" i="6"/>
  <c r="AP47" i="6"/>
  <c r="AO74" i="6"/>
  <c r="AN47" i="6"/>
  <c r="AP74" i="6"/>
  <c r="AI47" i="6"/>
  <c r="AH56" i="6"/>
  <c r="AQ65" i="6"/>
  <c r="AK56" i="6"/>
  <c r="AP65" i="6"/>
  <c r="AF47" i="6"/>
  <c r="AM65" i="6"/>
  <c r="AH65" i="6"/>
  <c r="AL74" i="6"/>
  <c r="AP56" i="6"/>
  <c r="AM56" i="6"/>
  <c r="AG56" i="6"/>
  <c r="AK65" i="6"/>
  <c r="AQ47" i="6"/>
  <c r="AL47" i="6"/>
  <c r="AG47" i="6"/>
  <c r="AI65" i="6"/>
  <c r="AK74" i="6"/>
  <c r="AO65" i="6"/>
  <c r="AI56" i="6"/>
  <c r="AL56" i="6"/>
  <c r="B7" i="4"/>
  <c r="E40" i="15"/>
  <c r="F40" i="15"/>
  <c r="G40" i="15"/>
  <c r="E41" i="15"/>
  <c r="F41" i="15"/>
  <c r="G41" i="15"/>
  <c r="E42" i="15"/>
  <c r="F42" i="15"/>
  <c r="G42" i="15"/>
  <c r="C40" i="15"/>
  <c r="C41" i="15"/>
  <c r="C42" i="15"/>
  <c r="H42" i="15" l="1"/>
  <c r="BK13" i="6"/>
  <c r="BK95" i="6" s="1"/>
  <c r="BK107" i="6"/>
  <c r="BK102" i="6"/>
  <c r="BK106" i="6"/>
  <c r="BK56" i="6"/>
  <c r="BK65" i="6"/>
  <c r="BK47" i="6"/>
  <c r="H41" i="15"/>
  <c r="H40" i="15"/>
  <c r="G87" i="15" l="1"/>
  <c r="F87" i="15"/>
  <c r="E87" i="15"/>
  <c r="C87" i="15"/>
  <c r="G86" i="15"/>
  <c r="F86" i="15"/>
  <c r="E86" i="15"/>
  <c r="C86" i="15"/>
  <c r="G85" i="15"/>
  <c r="F85" i="15"/>
  <c r="E85" i="15"/>
  <c r="C85" i="15"/>
  <c r="G84" i="15"/>
  <c r="F84" i="15"/>
  <c r="E84" i="15"/>
  <c r="C84" i="15"/>
  <c r="G83" i="15"/>
  <c r="F83" i="15"/>
  <c r="E83" i="15"/>
  <c r="C83" i="15"/>
  <c r="G82" i="15"/>
  <c r="F82" i="15"/>
  <c r="E82" i="15"/>
  <c r="C82" i="15"/>
  <c r="G79" i="15"/>
  <c r="F79" i="15"/>
  <c r="E79" i="15"/>
  <c r="C79" i="15"/>
  <c r="G78" i="15"/>
  <c r="F78" i="15"/>
  <c r="E78" i="15"/>
  <c r="C78" i="15"/>
  <c r="G77" i="15"/>
  <c r="F77" i="15"/>
  <c r="E77" i="15"/>
  <c r="C77" i="15"/>
  <c r="G76" i="15"/>
  <c r="F76" i="15"/>
  <c r="E76" i="15"/>
  <c r="C76" i="15"/>
  <c r="G75" i="15"/>
  <c r="F75" i="15"/>
  <c r="E75" i="15"/>
  <c r="C75" i="15"/>
  <c r="G74" i="15"/>
  <c r="F74" i="15"/>
  <c r="E74" i="15"/>
  <c r="C74" i="15"/>
  <c r="G73" i="15"/>
  <c r="F73" i="15"/>
  <c r="E73" i="15"/>
  <c r="C73" i="15"/>
  <c r="G72" i="15"/>
  <c r="F72" i="15"/>
  <c r="E72" i="15"/>
  <c r="C72" i="15"/>
  <c r="G71" i="15"/>
  <c r="F71" i="15"/>
  <c r="E71" i="15"/>
  <c r="C71" i="15"/>
  <c r="G69" i="15"/>
  <c r="F69" i="15"/>
  <c r="E69" i="15"/>
  <c r="C69" i="15"/>
  <c r="G68" i="15"/>
  <c r="F68" i="15"/>
  <c r="E68" i="15"/>
  <c r="C68" i="15"/>
  <c r="G67" i="15"/>
  <c r="F67" i="15"/>
  <c r="E67" i="15"/>
  <c r="C67" i="15"/>
  <c r="G66" i="15"/>
  <c r="F66" i="15"/>
  <c r="E66" i="15"/>
  <c r="C66" i="15"/>
  <c r="G64" i="15"/>
  <c r="F64" i="15"/>
  <c r="E64" i="15"/>
  <c r="C64" i="15"/>
  <c r="G63" i="15"/>
  <c r="F63" i="15"/>
  <c r="E63" i="15"/>
  <c r="C63" i="15"/>
  <c r="G62" i="15"/>
  <c r="F62" i="15"/>
  <c r="E62" i="15"/>
  <c r="C62" i="15"/>
  <c r="G60" i="15"/>
  <c r="F60" i="15"/>
  <c r="E60" i="15"/>
  <c r="C60" i="15"/>
  <c r="G59" i="15"/>
  <c r="F59" i="15"/>
  <c r="E59" i="15"/>
  <c r="C59" i="15"/>
  <c r="G58" i="15"/>
  <c r="F58" i="15"/>
  <c r="E58" i="15"/>
  <c r="C58" i="15"/>
  <c r="G57" i="15"/>
  <c r="F57" i="15"/>
  <c r="E57" i="15"/>
  <c r="C57" i="15"/>
  <c r="G55" i="15"/>
  <c r="F55" i="15"/>
  <c r="E55" i="15"/>
  <c r="C55" i="15"/>
  <c r="G54" i="15"/>
  <c r="F54" i="15"/>
  <c r="E54" i="15"/>
  <c r="C54" i="15"/>
  <c r="G53" i="15"/>
  <c r="F53" i="15"/>
  <c r="E53" i="15"/>
  <c r="C53" i="15"/>
  <c r="G52" i="15"/>
  <c r="F52" i="15"/>
  <c r="E52" i="15"/>
  <c r="C52" i="15"/>
  <c r="G50" i="15"/>
  <c r="F50" i="15"/>
  <c r="E50" i="15"/>
  <c r="C50" i="15"/>
  <c r="G49" i="15"/>
  <c r="F49" i="15"/>
  <c r="E49" i="15"/>
  <c r="C49" i="15"/>
  <c r="G48" i="15"/>
  <c r="F48" i="15"/>
  <c r="E48" i="15"/>
  <c r="C48" i="15"/>
  <c r="G47" i="15"/>
  <c r="F47" i="15"/>
  <c r="E47" i="15"/>
  <c r="C47" i="15"/>
  <c r="G46" i="15"/>
  <c r="F46" i="15"/>
  <c r="E46" i="15"/>
  <c r="C46" i="15"/>
  <c r="G44" i="15"/>
  <c r="F44" i="15"/>
  <c r="E44" i="15"/>
  <c r="C44" i="15"/>
  <c r="G43" i="15"/>
  <c r="F43" i="15"/>
  <c r="E43" i="15"/>
  <c r="C43" i="15"/>
  <c r="G39" i="15"/>
  <c r="F39" i="15"/>
  <c r="E39" i="15"/>
  <c r="C39" i="15"/>
  <c r="G38" i="15"/>
  <c r="F38" i="15"/>
  <c r="E38" i="15"/>
  <c r="C38" i="15"/>
  <c r="G37" i="15"/>
  <c r="F37" i="15"/>
  <c r="E37" i="15"/>
  <c r="C37" i="15"/>
  <c r="G36" i="15"/>
  <c r="F36" i="15"/>
  <c r="E36" i="15"/>
  <c r="C36" i="15"/>
  <c r="G35" i="15"/>
  <c r="F35" i="15"/>
  <c r="E35" i="15"/>
  <c r="C35" i="15"/>
  <c r="G34" i="15"/>
  <c r="F34" i="15"/>
  <c r="E34" i="15"/>
  <c r="C34" i="15"/>
  <c r="G33" i="15"/>
  <c r="F33" i="15"/>
  <c r="E33" i="15"/>
  <c r="C33" i="15"/>
  <c r="G32" i="15"/>
  <c r="F32" i="15"/>
  <c r="E32" i="15"/>
  <c r="C32" i="15"/>
  <c r="G31" i="15"/>
  <c r="F31" i="15"/>
  <c r="E31" i="15"/>
  <c r="C31" i="15"/>
  <c r="G30" i="15"/>
  <c r="F30" i="15"/>
  <c r="E30" i="15"/>
  <c r="C30" i="15"/>
  <c r="G27" i="15"/>
  <c r="F27" i="15"/>
  <c r="E27" i="15"/>
  <c r="C27" i="15"/>
  <c r="G26" i="15"/>
  <c r="F26" i="15"/>
  <c r="E26" i="15"/>
  <c r="C26" i="15"/>
  <c r="G25" i="15"/>
  <c r="F25" i="15"/>
  <c r="E25" i="15"/>
  <c r="C25" i="15"/>
  <c r="G24" i="15"/>
  <c r="F24" i="15"/>
  <c r="E24" i="15"/>
  <c r="C24" i="15"/>
  <c r="G23" i="15"/>
  <c r="F23" i="15"/>
  <c r="E23" i="15"/>
  <c r="C23" i="15"/>
  <c r="G22" i="15"/>
  <c r="F22" i="15"/>
  <c r="E22" i="15"/>
  <c r="C22" i="15"/>
  <c r="G21" i="15"/>
  <c r="F21" i="15"/>
  <c r="E21" i="15"/>
  <c r="C21" i="15"/>
  <c r="G20" i="15"/>
  <c r="F20" i="15"/>
  <c r="E20" i="15"/>
  <c r="C20" i="15"/>
  <c r="G19" i="15"/>
  <c r="F19" i="15"/>
  <c r="E19" i="15"/>
  <c r="C19" i="15"/>
  <c r="G18" i="15"/>
  <c r="F18" i="15"/>
  <c r="E18" i="15"/>
  <c r="C18" i="15"/>
  <c r="G17" i="15"/>
  <c r="F17" i="15"/>
  <c r="E17" i="15"/>
  <c r="C17" i="15"/>
  <c r="G16" i="15"/>
  <c r="F16" i="15"/>
  <c r="E16" i="15"/>
  <c r="C16" i="15"/>
  <c r="G15" i="15"/>
  <c r="F15" i="15"/>
  <c r="E15" i="15"/>
  <c r="C15" i="15"/>
  <c r="G14" i="15"/>
  <c r="F14" i="15"/>
  <c r="E14" i="15"/>
  <c r="C14" i="15"/>
  <c r="G13" i="15"/>
  <c r="F13" i="15"/>
  <c r="E13" i="15"/>
  <c r="C13" i="15"/>
  <c r="G12" i="15"/>
  <c r="F12" i="15"/>
  <c r="E12" i="15"/>
  <c r="C12" i="15"/>
  <c r="G11" i="15"/>
  <c r="F11" i="15"/>
  <c r="E11" i="15"/>
  <c r="C11" i="15"/>
  <c r="G10" i="15"/>
  <c r="F10" i="15"/>
  <c r="E10" i="15"/>
  <c r="C10" i="15"/>
  <c r="G9" i="15"/>
  <c r="F9" i="15"/>
  <c r="E9" i="15"/>
  <c r="C9" i="15"/>
  <c r="G8" i="15"/>
  <c r="F8" i="15"/>
  <c r="E8" i="15"/>
  <c r="C8" i="15"/>
  <c r="AU83" i="6" l="1"/>
  <c r="AU93" i="6" s="1"/>
  <c r="H8" i="15"/>
  <c r="H9" i="15"/>
  <c r="H10" i="15"/>
  <c r="H11" i="15"/>
  <c r="H12" i="15"/>
  <c r="H13" i="15"/>
  <c r="H14" i="15"/>
  <c r="H15" i="15"/>
  <c r="H16" i="15"/>
  <c r="H17" i="15"/>
  <c r="H18" i="15"/>
  <c r="H19" i="15"/>
  <c r="H20" i="15"/>
  <c r="H21" i="15"/>
  <c r="H22" i="15"/>
  <c r="H23" i="15"/>
  <c r="H24" i="15"/>
  <c r="H25" i="15"/>
  <c r="H26" i="15"/>
  <c r="H27" i="15"/>
  <c r="H30" i="15"/>
  <c r="H31" i="15"/>
  <c r="H32" i="15"/>
  <c r="H33" i="15"/>
  <c r="H34" i="15"/>
  <c r="H35" i="15"/>
  <c r="H36" i="15"/>
  <c r="H37" i="15"/>
  <c r="H38" i="15"/>
  <c r="H39" i="15"/>
  <c r="H43" i="15"/>
  <c r="H44" i="15"/>
  <c r="H46" i="15"/>
  <c r="H47" i="15"/>
  <c r="H48" i="15"/>
  <c r="H49" i="15"/>
  <c r="H50" i="15"/>
  <c r="H52" i="15"/>
  <c r="H53" i="15"/>
  <c r="H54" i="15"/>
  <c r="H55" i="15"/>
  <c r="H57" i="15"/>
  <c r="H58" i="15"/>
  <c r="H60" i="15"/>
  <c r="H62" i="15"/>
  <c r="H63" i="15"/>
  <c r="H64" i="15"/>
  <c r="H66" i="15"/>
  <c r="H67" i="15"/>
  <c r="H68" i="15"/>
  <c r="H69" i="15"/>
  <c r="H71" i="15"/>
  <c r="H72" i="15"/>
  <c r="H73" i="15"/>
  <c r="H74" i="15"/>
  <c r="H76" i="15"/>
  <c r="H77" i="15"/>
  <c r="H78" i="15"/>
  <c r="H79" i="15"/>
  <c r="H82" i="15"/>
  <c r="H83" i="15"/>
  <c r="H84" i="15"/>
  <c r="H85" i="15"/>
  <c r="H86" i="15"/>
  <c r="H87" i="15"/>
  <c r="H59" i="15"/>
  <c r="H75" i="15"/>
  <c r="U37" i="3"/>
  <c r="G21" i="7"/>
  <c r="J21" i="7"/>
  <c r="F22" i="7"/>
  <c r="G22" i="7"/>
  <c r="J22" i="7"/>
  <c r="F23" i="7"/>
  <c r="G23" i="7"/>
  <c r="J23" i="7"/>
  <c r="F24" i="7"/>
  <c r="G24" i="7"/>
  <c r="J24" i="7"/>
  <c r="F25" i="7"/>
  <c r="G25" i="7"/>
  <c r="H25" i="7"/>
  <c r="I25" i="7"/>
  <c r="J25" i="7"/>
  <c r="K25" i="7"/>
  <c r="F26" i="7"/>
  <c r="G26" i="7"/>
  <c r="J26" i="7"/>
  <c r="F27" i="7"/>
  <c r="G27" i="7"/>
  <c r="H27" i="7"/>
  <c r="I27" i="7"/>
  <c r="J27" i="7"/>
  <c r="K27" i="7"/>
  <c r="F28" i="7"/>
  <c r="G28" i="7"/>
  <c r="H28" i="7"/>
  <c r="I28" i="7"/>
  <c r="J28" i="7"/>
  <c r="F29" i="7"/>
  <c r="G29" i="7"/>
  <c r="J29" i="7"/>
  <c r="F30" i="7"/>
  <c r="G30" i="7"/>
  <c r="H30" i="7"/>
  <c r="I30" i="7"/>
  <c r="J30" i="7"/>
  <c r="K30" i="7"/>
  <c r="F31" i="7"/>
  <c r="G31" i="7"/>
  <c r="H31" i="7"/>
  <c r="I31" i="7"/>
  <c r="J31" i="7"/>
  <c r="K31" i="7"/>
  <c r="G20" i="7"/>
  <c r="H20" i="7"/>
  <c r="I20" i="7"/>
  <c r="J20" i="7"/>
  <c r="K20" i="7"/>
  <c r="F20" i="7"/>
  <c r="G13" i="7"/>
  <c r="G18" i="7" s="1"/>
  <c r="J13" i="7"/>
  <c r="J18" i="7" s="1"/>
  <c r="F13" i="7"/>
  <c r="F18" i="7" s="1"/>
  <c r="H26" i="7"/>
  <c r="I26" i="7"/>
  <c r="H29" i="7"/>
  <c r="I29" i="7"/>
  <c r="K7" i="7"/>
  <c r="H23" i="7"/>
  <c r="I24" i="7"/>
  <c r="I21" i="7"/>
  <c r="I22" i="7" l="1"/>
  <c r="K10" i="7"/>
  <c r="K24" i="7" s="1"/>
  <c r="M190" i="3" s="1"/>
  <c r="H22" i="7"/>
  <c r="H21" i="7"/>
  <c r="I23" i="7"/>
  <c r="I33" i="7" s="1"/>
  <c r="K8" i="7"/>
  <c r="K28" i="7" s="1"/>
  <c r="Q124" i="3" s="1"/>
  <c r="S190" i="3"/>
  <c r="S124" i="22"/>
  <c r="S128" i="22" s="1"/>
  <c r="S129" i="22" s="1"/>
  <c r="S138" i="22" s="1"/>
  <c r="S190" i="22"/>
  <c r="P124" i="3"/>
  <c r="P190" i="22"/>
  <c r="P194" i="22" s="1"/>
  <c r="P195" i="22" s="1"/>
  <c r="P204" i="22" s="1"/>
  <c r="P124" i="22"/>
  <c r="P128" i="22" s="1"/>
  <c r="P129" i="22" s="1"/>
  <c r="P138" i="22" s="1"/>
  <c r="I13" i="7"/>
  <c r="I18" i="7" s="1"/>
  <c r="I190" i="3"/>
  <c r="I191" i="22"/>
  <c r="U191" i="22" s="1"/>
  <c r="I190" i="22"/>
  <c r="I124" i="22"/>
  <c r="K26" i="7"/>
  <c r="T124" i="3"/>
  <c r="T190" i="22"/>
  <c r="T194" i="22" s="1"/>
  <c r="T195" i="22" s="1"/>
  <c r="T204" i="22" s="1"/>
  <c r="T124" i="22"/>
  <c r="Q190" i="22"/>
  <c r="Q194" i="22" s="1"/>
  <c r="Q195" i="22" s="1"/>
  <c r="Q204" i="22" s="1"/>
  <c r="Q124" i="22"/>
  <c r="N190" i="3"/>
  <c r="N190" i="22"/>
  <c r="N124" i="22"/>
  <c r="N128" i="22" s="1"/>
  <c r="N129" i="22" s="1"/>
  <c r="N138" i="22" s="1"/>
  <c r="J33" i="7"/>
  <c r="AN31" i="6"/>
  <c r="AN101" i="6" s="1"/>
  <c r="H13" i="7"/>
  <c r="H18" i="7" s="1"/>
  <c r="K9" i="7"/>
  <c r="K11" i="7"/>
  <c r="K6" i="7"/>
  <c r="H24" i="7"/>
  <c r="AJ31" i="6" s="1"/>
  <c r="AJ101" i="6" s="1"/>
  <c r="AP31" i="6"/>
  <c r="AP101" i="6" s="1"/>
  <c r="U55" i="3"/>
  <c r="AO31" i="6"/>
  <c r="AO101" i="6" s="1"/>
  <c r="AM31" i="6"/>
  <c r="AM101" i="6" s="1"/>
  <c r="AK31" i="6"/>
  <c r="AK101" i="6" s="1"/>
  <c r="AQ31" i="6"/>
  <c r="AQ101" i="6" s="1"/>
  <c r="T190" i="3"/>
  <c r="AG31" i="6"/>
  <c r="AG101" i="6" s="1"/>
  <c r="G33" i="7"/>
  <c r="P190" i="3"/>
  <c r="AI31" i="6"/>
  <c r="AI101" i="6" s="1"/>
  <c r="S124" i="3"/>
  <c r="AH31" i="6"/>
  <c r="AH101" i="6" s="1"/>
  <c r="N124" i="3"/>
  <c r="I124" i="3"/>
  <c r="M124" i="3"/>
  <c r="I191" i="3"/>
  <c r="AF31" i="6"/>
  <c r="F33" i="7"/>
  <c r="F34" i="7" s="1"/>
  <c r="AA83" i="6"/>
  <c r="AA93" i="6" s="1"/>
  <c r="BC83" i="6"/>
  <c r="BC93" i="6" s="1"/>
  <c r="K22" i="7"/>
  <c r="K21" i="7"/>
  <c r="J54" i="3" s="1"/>
  <c r="Q190" i="3" l="1"/>
  <c r="Q194" i="3" s="1"/>
  <c r="Q195" i="3" s="1"/>
  <c r="O124" i="3"/>
  <c r="O54" i="3"/>
  <c r="AL31" i="6" s="1"/>
  <c r="AL101" i="6" s="1"/>
  <c r="M124" i="22"/>
  <c r="M128" i="22" s="1"/>
  <c r="M129" i="22" s="1"/>
  <c r="M138" i="22" s="1"/>
  <c r="M190" i="22"/>
  <c r="M194" i="22" s="1"/>
  <c r="M195" i="22" s="1"/>
  <c r="M204" i="22" s="1"/>
  <c r="G34" i="7"/>
  <c r="H33" i="7"/>
  <c r="H34" i="7" s="1"/>
  <c r="I34" i="7"/>
  <c r="J34" i="7"/>
  <c r="K13" i="7"/>
  <c r="K18" i="7" s="1"/>
  <c r="J190" i="3"/>
  <c r="J194" i="3" s="1"/>
  <c r="J195" i="3" s="1"/>
  <c r="J190" i="22"/>
  <c r="J124" i="22"/>
  <c r="J128" i="22" s="1"/>
  <c r="J129" i="22" s="1"/>
  <c r="J138" i="22" s="1"/>
  <c r="N194" i="22"/>
  <c r="N195" i="22" s="1"/>
  <c r="N204" i="22" s="1"/>
  <c r="O190" i="3"/>
  <c r="O194" i="3" s="1"/>
  <c r="O195" i="3" s="1"/>
  <c r="O124" i="22"/>
  <c r="O128" i="22" s="1"/>
  <c r="O129" i="22" s="1"/>
  <c r="O138" i="22" s="1"/>
  <c r="O190" i="22"/>
  <c r="K124" i="22"/>
  <c r="K128" i="22" s="1"/>
  <c r="K129" i="22" s="1"/>
  <c r="K138" i="22" s="1"/>
  <c r="K190" i="22"/>
  <c r="T128" i="22"/>
  <c r="T129" i="22" s="1"/>
  <c r="T138" i="22" s="1"/>
  <c r="I128" i="22"/>
  <c r="I129" i="22" s="1"/>
  <c r="I138" i="22" s="1"/>
  <c r="S194" i="22"/>
  <c r="S195" i="22" s="1"/>
  <c r="S204" i="22" s="1"/>
  <c r="Q128" i="22"/>
  <c r="Q129" i="22" s="1"/>
  <c r="Q138" i="22" s="1"/>
  <c r="I194" i="22"/>
  <c r="K23" i="7"/>
  <c r="L190" i="3" s="1"/>
  <c r="L194" i="3" s="1"/>
  <c r="L195" i="3" s="1"/>
  <c r="K190" i="3"/>
  <c r="K194" i="3" s="1"/>
  <c r="K195" i="3" s="1"/>
  <c r="K124" i="3"/>
  <c r="K128" i="3" s="1"/>
  <c r="K129" i="3" s="1"/>
  <c r="J124" i="3"/>
  <c r="J128" i="3" s="1"/>
  <c r="J129" i="3" s="1"/>
  <c r="K29" i="7"/>
  <c r="AF101" i="6"/>
  <c r="AA96" i="6"/>
  <c r="AA108" i="6" s="1"/>
  <c r="AV83" i="6"/>
  <c r="AV93" i="6" s="1"/>
  <c r="T83" i="6"/>
  <c r="T93" i="6" s="1"/>
  <c r="T96" i="6" s="1"/>
  <c r="T108" i="6" s="1"/>
  <c r="T201" i="3"/>
  <c r="T202" i="3" s="1"/>
  <c r="S201" i="3"/>
  <c r="S202" i="3" s="1"/>
  <c r="R201" i="3"/>
  <c r="R202" i="3" s="1"/>
  <c r="Q201" i="3"/>
  <c r="Q202" i="3" s="1"/>
  <c r="P201" i="3"/>
  <c r="P202" i="3" s="1"/>
  <c r="O201" i="3"/>
  <c r="O202" i="3" s="1"/>
  <c r="N201" i="3"/>
  <c r="N202" i="3" s="1"/>
  <c r="M201" i="3"/>
  <c r="M202" i="3" s="1"/>
  <c r="L201" i="3"/>
  <c r="L202" i="3" s="1"/>
  <c r="K201" i="3"/>
  <c r="K202" i="3" s="1"/>
  <c r="J201" i="3"/>
  <c r="J202" i="3" s="1"/>
  <c r="I201" i="3"/>
  <c r="I202" i="3" s="1"/>
  <c r="G201" i="3"/>
  <c r="U200" i="3"/>
  <c r="U199" i="3"/>
  <c r="U198" i="3"/>
  <c r="U197" i="3"/>
  <c r="T194" i="3"/>
  <c r="T195" i="3" s="1"/>
  <c r="S194" i="3"/>
  <c r="S195" i="3" s="1"/>
  <c r="P194" i="3"/>
  <c r="P195" i="3" s="1"/>
  <c r="N194" i="3"/>
  <c r="N195" i="3" s="1"/>
  <c r="M194" i="3"/>
  <c r="M195" i="3" s="1"/>
  <c r="I194" i="3"/>
  <c r="I195" i="3" s="1"/>
  <c r="G194" i="3"/>
  <c r="U193" i="3"/>
  <c r="U192" i="3"/>
  <c r="U191" i="3"/>
  <c r="T186" i="3"/>
  <c r="S186" i="3"/>
  <c r="R186" i="3"/>
  <c r="Q186" i="3"/>
  <c r="P186" i="3"/>
  <c r="O186" i="3"/>
  <c r="N186" i="3"/>
  <c r="M186" i="3"/>
  <c r="L186" i="3"/>
  <c r="K186" i="3"/>
  <c r="J186" i="3"/>
  <c r="I186" i="3"/>
  <c r="G186" i="3"/>
  <c r="U185" i="3"/>
  <c r="U184" i="3"/>
  <c r="T182" i="3"/>
  <c r="S182" i="3"/>
  <c r="R182" i="3"/>
  <c r="Q182" i="3"/>
  <c r="P182" i="3"/>
  <c r="O182" i="3"/>
  <c r="N182" i="3"/>
  <c r="M182" i="3"/>
  <c r="L182" i="3"/>
  <c r="K182" i="3"/>
  <c r="J182" i="3"/>
  <c r="I182" i="3"/>
  <c r="T181" i="3"/>
  <c r="S181" i="3"/>
  <c r="R181" i="3"/>
  <c r="Q181" i="3"/>
  <c r="Q187" i="3" s="1"/>
  <c r="P181" i="3"/>
  <c r="P187" i="3" s="1"/>
  <c r="O181" i="3"/>
  <c r="O187" i="3" s="1"/>
  <c r="N181" i="3"/>
  <c r="M181" i="3"/>
  <c r="M187" i="3" s="1"/>
  <c r="L181" i="3"/>
  <c r="K181" i="3"/>
  <c r="J181" i="3"/>
  <c r="I181" i="3"/>
  <c r="G181" i="3"/>
  <c r="U180" i="3"/>
  <c r="U179" i="3"/>
  <c r="U178" i="3"/>
  <c r="U177" i="3"/>
  <c r="U176" i="3"/>
  <c r="U175" i="3"/>
  <c r="T172" i="3"/>
  <c r="T173" i="3" s="1"/>
  <c r="S172" i="3"/>
  <c r="S173" i="3" s="1"/>
  <c r="R172" i="3"/>
  <c r="R173" i="3" s="1"/>
  <c r="Q172" i="3"/>
  <c r="Q173" i="3" s="1"/>
  <c r="P172" i="3"/>
  <c r="P173" i="3" s="1"/>
  <c r="O172" i="3"/>
  <c r="O173" i="3" s="1"/>
  <c r="N172" i="3"/>
  <c r="N173" i="3" s="1"/>
  <c r="M172" i="3"/>
  <c r="M173" i="3" s="1"/>
  <c r="L172" i="3"/>
  <c r="L173" i="3" s="1"/>
  <c r="K172" i="3"/>
  <c r="K173" i="3" s="1"/>
  <c r="J172" i="3"/>
  <c r="J173" i="3" s="1"/>
  <c r="I172" i="3"/>
  <c r="G172" i="3"/>
  <c r="U171" i="3"/>
  <c r="U170" i="3"/>
  <c r="U169" i="3"/>
  <c r="U166" i="3"/>
  <c r="T165" i="3"/>
  <c r="S165" i="3"/>
  <c r="R165" i="3"/>
  <c r="Q165" i="3"/>
  <c r="P165" i="3"/>
  <c r="O165" i="3"/>
  <c r="N165" i="3"/>
  <c r="M165" i="3"/>
  <c r="L165" i="3"/>
  <c r="K165" i="3"/>
  <c r="J165" i="3"/>
  <c r="I165" i="3"/>
  <c r="T164" i="3"/>
  <c r="S164" i="3"/>
  <c r="R164" i="3"/>
  <c r="Q164" i="3"/>
  <c r="P164" i="3"/>
  <c r="O164" i="3"/>
  <c r="N164" i="3"/>
  <c r="M164" i="3"/>
  <c r="L164" i="3"/>
  <c r="K164" i="3"/>
  <c r="J164" i="3"/>
  <c r="I164" i="3"/>
  <c r="T163" i="3"/>
  <c r="S163" i="3"/>
  <c r="R163" i="3"/>
  <c r="Q163" i="3"/>
  <c r="P163" i="3"/>
  <c r="O163" i="3"/>
  <c r="N163" i="3"/>
  <c r="N167" i="3" s="1"/>
  <c r="M163" i="3"/>
  <c r="M167" i="3" s="1"/>
  <c r="L163" i="3"/>
  <c r="L167" i="3" s="1"/>
  <c r="K163" i="3"/>
  <c r="K167" i="3" s="1"/>
  <c r="J163" i="3"/>
  <c r="I163" i="3"/>
  <c r="U160" i="3"/>
  <c r="T160" i="3"/>
  <c r="S160" i="3"/>
  <c r="R160" i="3"/>
  <c r="Q160" i="3"/>
  <c r="P160" i="3"/>
  <c r="O160" i="3"/>
  <c r="N160" i="3"/>
  <c r="M160" i="3"/>
  <c r="L160" i="3"/>
  <c r="K160" i="3"/>
  <c r="J160" i="3"/>
  <c r="I160" i="3"/>
  <c r="T135" i="3"/>
  <c r="T136" i="3" s="1"/>
  <c r="S135" i="3"/>
  <c r="S136" i="3" s="1"/>
  <c r="R135" i="3"/>
  <c r="R136" i="3" s="1"/>
  <c r="Q135" i="3"/>
  <c r="Q136" i="3" s="1"/>
  <c r="P135" i="3"/>
  <c r="P136" i="3" s="1"/>
  <c r="O135" i="3"/>
  <c r="O136" i="3" s="1"/>
  <c r="N135" i="3"/>
  <c r="N136" i="3" s="1"/>
  <c r="M135" i="3"/>
  <c r="M136" i="3" s="1"/>
  <c r="L135" i="3"/>
  <c r="L136" i="3" s="1"/>
  <c r="K135" i="3"/>
  <c r="K136" i="3" s="1"/>
  <c r="J135" i="3"/>
  <c r="J136" i="3" s="1"/>
  <c r="I135" i="3"/>
  <c r="I136" i="3" s="1"/>
  <c r="G135" i="3"/>
  <c r="U134" i="3"/>
  <c r="U133" i="3"/>
  <c r="U132" i="3"/>
  <c r="U131" i="3"/>
  <c r="T128" i="3"/>
  <c r="T129" i="3" s="1"/>
  <c r="S128" i="3"/>
  <c r="S129" i="3" s="1"/>
  <c r="Q128" i="3"/>
  <c r="Q129" i="3" s="1"/>
  <c r="P128" i="3"/>
  <c r="P129" i="3" s="1"/>
  <c r="O128" i="3"/>
  <c r="O129" i="3" s="1"/>
  <c r="N128" i="3"/>
  <c r="N129" i="3" s="1"/>
  <c r="M128" i="3"/>
  <c r="M129" i="3" s="1"/>
  <c r="I128" i="3"/>
  <c r="I129" i="3" s="1"/>
  <c r="G128" i="3"/>
  <c r="U127" i="3"/>
  <c r="U126" i="3"/>
  <c r="U125" i="3"/>
  <c r="T120" i="3"/>
  <c r="T121" i="3" s="1"/>
  <c r="S120" i="3"/>
  <c r="S121" i="3" s="1"/>
  <c r="R120" i="3"/>
  <c r="R121" i="3" s="1"/>
  <c r="Q120" i="3"/>
  <c r="Q121" i="3" s="1"/>
  <c r="P120" i="3"/>
  <c r="P121" i="3" s="1"/>
  <c r="O120" i="3"/>
  <c r="O121" i="3" s="1"/>
  <c r="N120" i="3"/>
  <c r="N121" i="3" s="1"/>
  <c r="M120" i="3"/>
  <c r="M121" i="3" s="1"/>
  <c r="L120" i="3"/>
  <c r="L121" i="3" s="1"/>
  <c r="K120" i="3"/>
  <c r="K121" i="3" s="1"/>
  <c r="J120" i="3"/>
  <c r="J121" i="3" s="1"/>
  <c r="I120" i="3"/>
  <c r="G120" i="3"/>
  <c r="U119" i="3"/>
  <c r="U118" i="3"/>
  <c r="T116" i="3"/>
  <c r="S116" i="3"/>
  <c r="R116" i="3"/>
  <c r="Q116" i="3"/>
  <c r="P116" i="3"/>
  <c r="O116" i="3"/>
  <c r="N116" i="3"/>
  <c r="M116" i="3"/>
  <c r="L116" i="3"/>
  <c r="K116" i="3"/>
  <c r="J116" i="3"/>
  <c r="I116" i="3"/>
  <c r="T115" i="3"/>
  <c r="S115" i="3"/>
  <c r="R115" i="3"/>
  <c r="Q115" i="3"/>
  <c r="P115" i="3"/>
  <c r="O115" i="3"/>
  <c r="N115" i="3"/>
  <c r="M115" i="3"/>
  <c r="L115" i="3"/>
  <c r="K115" i="3"/>
  <c r="J115" i="3"/>
  <c r="I115" i="3"/>
  <c r="G115" i="3"/>
  <c r="U114" i="3"/>
  <c r="U113" i="3"/>
  <c r="U112" i="3"/>
  <c r="U111" i="3"/>
  <c r="U110" i="3"/>
  <c r="U109" i="3"/>
  <c r="T106" i="3"/>
  <c r="T107" i="3" s="1"/>
  <c r="S106" i="3"/>
  <c r="S107" i="3" s="1"/>
  <c r="R106" i="3"/>
  <c r="R107" i="3" s="1"/>
  <c r="Q106" i="3"/>
  <c r="Q107" i="3" s="1"/>
  <c r="P106" i="3"/>
  <c r="P107" i="3" s="1"/>
  <c r="O106" i="3"/>
  <c r="O107" i="3" s="1"/>
  <c r="N106" i="3"/>
  <c r="N107" i="3" s="1"/>
  <c r="M106" i="3"/>
  <c r="M107" i="3" s="1"/>
  <c r="L106" i="3"/>
  <c r="L107" i="3" s="1"/>
  <c r="K106" i="3"/>
  <c r="K107" i="3" s="1"/>
  <c r="J106" i="3"/>
  <c r="J107" i="3" s="1"/>
  <c r="I106" i="3"/>
  <c r="I107" i="3" s="1"/>
  <c r="G106" i="3"/>
  <c r="U105" i="3"/>
  <c r="U104" i="3"/>
  <c r="U103" i="3"/>
  <c r="U100" i="3"/>
  <c r="T99" i="3"/>
  <c r="S99" i="3"/>
  <c r="R99" i="3"/>
  <c r="Q99" i="3"/>
  <c r="P99" i="3"/>
  <c r="O99" i="3"/>
  <c r="N99" i="3"/>
  <c r="M99" i="3"/>
  <c r="L99" i="3"/>
  <c r="K99" i="3"/>
  <c r="J99" i="3"/>
  <c r="I99" i="3"/>
  <c r="T98" i="3"/>
  <c r="S98" i="3"/>
  <c r="R98" i="3"/>
  <c r="Q98" i="3"/>
  <c r="P98" i="3"/>
  <c r="O98" i="3"/>
  <c r="N98" i="3"/>
  <c r="M98" i="3"/>
  <c r="L98" i="3"/>
  <c r="K98" i="3"/>
  <c r="J98" i="3"/>
  <c r="I98" i="3"/>
  <c r="T97" i="3"/>
  <c r="S97" i="3"/>
  <c r="R97" i="3"/>
  <c r="Q97" i="3"/>
  <c r="P97" i="3"/>
  <c r="O97" i="3"/>
  <c r="N97" i="3"/>
  <c r="M97" i="3"/>
  <c r="L97" i="3"/>
  <c r="K97" i="3"/>
  <c r="K101" i="3" s="1"/>
  <c r="J97" i="3"/>
  <c r="J101" i="3" s="1"/>
  <c r="I97" i="3"/>
  <c r="I101" i="3" s="1"/>
  <c r="U94" i="3"/>
  <c r="T94" i="3"/>
  <c r="S94" i="3"/>
  <c r="R94" i="3"/>
  <c r="Q94" i="3"/>
  <c r="P94" i="3"/>
  <c r="O94" i="3"/>
  <c r="N94" i="3"/>
  <c r="M94" i="3"/>
  <c r="L94" i="3"/>
  <c r="K94" i="3"/>
  <c r="J94" i="3"/>
  <c r="I94" i="3"/>
  <c r="BK31" i="6" l="1"/>
  <c r="BK101" i="6" s="1"/>
  <c r="S187" i="3"/>
  <c r="P167" i="3"/>
  <c r="L101" i="3"/>
  <c r="Q167" i="3"/>
  <c r="R167" i="3"/>
  <c r="P101" i="3"/>
  <c r="S167" i="3"/>
  <c r="Q101" i="3"/>
  <c r="Q138" i="3" s="1"/>
  <c r="T167" i="3"/>
  <c r="T204" i="3" s="1"/>
  <c r="I187" i="3"/>
  <c r="O101" i="3"/>
  <c r="R101" i="3"/>
  <c r="S101" i="3"/>
  <c r="S138" i="3" s="1"/>
  <c r="O167" i="3"/>
  <c r="O204" i="3" s="1"/>
  <c r="N101" i="3"/>
  <c r="N138" i="3" s="1"/>
  <c r="M101" i="3"/>
  <c r="M138" i="3" s="1"/>
  <c r="L187" i="3"/>
  <c r="T101" i="3"/>
  <c r="I167" i="3"/>
  <c r="J167" i="3"/>
  <c r="U54" i="3"/>
  <c r="K33" i="7"/>
  <c r="K34" i="7" s="1"/>
  <c r="R190" i="22"/>
  <c r="R124" i="22"/>
  <c r="R128" i="22" s="1"/>
  <c r="R129" i="22" s="1"/>
  <c r="R138" i="22" s="1"/>
  <c r="L124" i="3"/>
  <c r="L128" i="3" s="1"/>
  <c r="L129" i="3" s="1"/>
  <c r="L138" i="3" s="1"/>
  <c r="L190" i="22"/>
  <c r="L124" i="22"/>
  <c r="O194" i="22"/>
  <c r="O195" i="22" s="1"/>
  <c r="O204" i="22" s="1"/>
  <c r="I195" i="22"/>
  <c r="I204" i="22" s="1"/>
  <c r="K194" i="22"/>
  <c r="K195" i="22" s="1"/>
  <c r="K204" i="22" s="1"/>
  <c r="J194" i="22"/>
  <c r="J195" i="22" s="1"/>
  <c r="J204" i="22" s="1"/>
  <c r="K187" i="3"/>
  <c r="R190" i="3"/>
  <c r="R124" i="3"/>
  <c r="U164" i="3"/>
  <c r="U165" i="3"/>
  <c r="Z83" i="6"/>
  <c r="Z93" i="6" s="1"/>
  <c r="P138" i="3"/>
  <c r="T138" i="3"/>
  <c r="U172" i="3"/>
  <c r="U173" i="3" s="1"/>
  <c r="U186" i="3"/>
  <c r="U98" i="3"/>
  <c r="U120" i="3"/>
  <c r="I121" i="3"/>
  <c r="I173" i="3"/>
  <c r="I204" i="3" s="1"/>
  <c r="U99" i="3"/>
  <c r="U136" i="3"/>
  <c r="U202" i="3"/>
  <c r="I138" i="3"/>
  <c r="U116" i="3"/>
  <c r="M204" i="3"/>
  <c r="Q204" i="3"/>
  <c r="T187" i="3"/>
  <c r="U182" i="3"/>
  <c r="K204" i="3"/>
  <c r="S204" i="3"/>
  <c r="U181" i="3"/>
  <c r="J187" i="3"/>
  <c r="N187" i="3"/>
  <c r="R187" i="3"/>
  <c r="U115" i="3"/>
  <c r="L204" i="3"/>
  <c r="P204" i="3"/>
  <c r="J204" i="3"/>
  <c r="N204" i="3"/>
  <c r="U201" i="3"/>
  <c r="U163" i="3"/>
  <c r="J138" i="3"/>
  <c r="K138" i="3"/>
  <c r="O138" i="3"/>
  <c r="U106" i="3"/>
  <c r="U107" i="3" s="1"/>
  <c r="U135" i="3"/>
  <c r="U97" i="3"/>
  <c r="L128" i="22" l="1"/>
  <c r="U128" i="22" s="1"/>
  <c r="U124" i="22"/>
  <c r="U129" i="22" s="1"/>
  <c r="U138" i="22" s="1"/>
  <c r="R194" i="22"/>
  <c r="R195" i="22" s="1"/>
  <c r="R204" i="22" s="1"/>
  <c r="U167" i="3"/>
  <c r="L194" i="22"/>
  <c r="L195" i="22" s="1"/>
  <c r="L204" i="22" s="1"/>
  <c r="U190" i="22"/>
  <c r="U195" i="22" s="1"/>
  <c r="U204" i="22" s="1"/>
  <c r="R128" i="3"/>
  <c r="U124" i="3"/>
  <c r="U129" i="3" s="1"/>
  <c r="R194" i="3"/>
  <c r="U190" i="3"/>
  <c r="U195" i="3" s="1"/>
  <c r="Z96" i="6"/>
  <c r="Z108" i="6" s="1"/>
  <c r="U101" i="3"/>
  <c r="U121" i="3"/>
  <c r="U187" i="3"/>
  <c r="U204" i="3" l="1"/>
  <c r="L129" i="22"/>
  <c r="L138" i="22" s="1"/>
  <c r="U194" i="22"/>
  <c r="U138" i="3"/>
  <c r="R195" i="3"/>
  <c r="R204" i="3" s="1"/>
  <c r="U194" i="3"/>
  <c r="R129" i="3"/>
  <c r="R138" i="3" s="1"/>
  <c r="U128" i="3"/>
  <c r="AI75" i="6"/>
  <c r="AI74" i="6" s="1"/>
  <c r="AH75" i="6"/>
  <c r="AH74" i="6" s="1"/>
  <c r="AG75" i="6"/>
  <c r="AG74" i="6" s="1"/>
  <c r="C20" i="4"/>
  <c r="C21" i="4"/>
  <c r="C19" i="4"/>
  <c r="C16" i="4"/>
  <c r="C17" i="4"/>
  <c r="C15" i="4"/>
  <c r="J18" i="4"/>
  <c r="J22" i="4"/>
  <c r="I24" i="4"/>
  <c r="I25" i="4"/>
  <c r="I23" i="4"/>
  <c r="I20" i="4"/>
  <c r="I21" i="4"/>
  <c r="I19" i="4"/>
  <c r="F20" i="4"/>
  <c r="F21" i="4"/>
  <c r="F19" i="4"/>
  <c r="F24" i="4"/>
  <c r="F25" i="4"/>
  <c r="F23" i="4"/>
  <c r="G18" i="4"/>
  <c r="G22" i="4"/>
  <c r="F16" i="4"/>
  <c r="F17" i="4"/>
  <c r="F15" i="4"/>
  <c r="D18" i="4"/>
  <c r="D22" i="4"/>
  <c r="B25" i="4"/>
  <c r="J25" i="4" s="1"/>
  <c r="B24" i="4"/>
  <c r="B23" i="4"/>
  <c r="D23" i="4" s="1"/>
  <c r="B16" i="4"/>
  <c r="J16" i="4" s="1"/>
  <c r="B15" i="4"/>
  <c r="B20" i="4"/>
  <c r="J20" i="4" s="1"/>
  <c r="B21" i="4"/>
  <c r="B19" i="4"/>
  <c r="D19" i="4" s="1"/>
  <c r="B17" i="4"/>
  <c r="J17" i="4" s="1"/>
  <c r="G25" i="4" l="1"/>
  <c r="J21" i="4"/>
  <c r="G15" i="4"/>
  <c r="G16" i="4"/>
  <c r="G21" i="4"/>
  <c r="J23" i="4"/>
  <c r="J24" i="4"/>
  <c r="G24" i="4"/>
  <c r="G20" i="4"/>
  <c r="D21" i="4"/>
  <c r="G17" i="4"/>
  <c r="J19" i="4"/>
  <c r="D17" i="4"/>
  <c r="D25" i="4"/>
  <c r="D20" i="4"/>
  <c r="D24" i="4"/>
  <c r="D16" i="4"/>
  <c r="D15" i="4"/>
  <c r="I15" i="4"/>
  <c r="J15" i="4" s="1"/>
  <c r="G23" i="4"/>
  <c r="G19" i="4"/>
  <c r="D27" i="4" l="1"/>
  <c r="D31" i="4" s="1"/>
  <c r="J27" i="4"/>
  <c r="J31" i="4" s="1"/>
  <c r="G27" i="4"/>
  <c r="G31" i="4" s="1"/>
  <c r="BG9" i="6"/>
  <c r="BF8" i="6" s="1"/>
  <c r="AR9" i="6"/>
  <c r="AN8" i="6" s="1"/>
  <c r="AE9" i="6"/>
  <c r="O9" i="6"/>
  <c r="L9" i="6"/>
  <c r="I9" i="6"/>
  <c r="I51" i="6" s="1"/>
  <c r="H9" i="6"/>
  <c r="O100" i="6" l="1"/>
  <c r="O104" i="6"/>
  <c r="O108" i="6"/>
  <c r="O97" i="6"/>
  <c r="O103" i="6"/>
  <c r="O107" i="6"/>
  <c r="O95" i="6"/>
  <c r="O96" i="6"/>
  <c r="O102" i="6"/>
  <c r="O106" i="6"/>
  <c r="O101" i="6"/>
  <c r="O105" i="6"/>
  <c r="O91" i="6"/>
  <c r="O90" i="6"/>
  <c r="O89" i="6"/>
  <c r="O88" i="6"/>
  <c r="O87" i="6"/>
  <c r="O86" i="6"/>
  <c r="O85" i="6"/>
  <c r="O84" i="6"/>
  <c r="O93" i="6"/>
  <c r="H104" i="6"/>
  <c r="H100" i="6"/>
  <c r="H101" i="6"/>
  <c r="H105" i="6"/>
  <c r="H102" i="6"/>
  <c r="H106" i="6"/>
  <c r="H96" i="6"/>
  <c r="H103" i="6"/>
  <c r="H107" i="6"/>
  <c r="H80" i="6"/>
  <c r="H91" i="6"/>
  <c r="H90" i="6"/>
  <c r="H89" i="6"/>
  <c r="H88" i="6"/>
  <c r="H87" i="6"/>
  <c r="H86" i="6"/>
  <c r="P86" i="6" s="1"/>
  <c r="Q86" i="6" s="1"/>
  <c r="H85" i="6"/>
  <c r="H84" i="6"/>
  <c r="H93" i="6"/>
  <c r="I31" i="6"/>
  <c r="I95" i="6"/>
  <c r="I106" i="6"/>
  <c r="J106" i="6" s="1"/>
  <c r="K106" i="6" s="1"/>
  <c r="I101" i="6"/>
  <c r="I102" i="6"/>
  <c r="I107" i="6"/>
  <c r="L96" i="6"/>
  <c r="L102" i="6"/>
  <c r="L106" i="6"/>
  <c r="L101" i="6"/>
  <c r="L105" i="6"/>
  <c r="L100" i="6"/>
  <c r="L104" i="6"/>
  <c r="L108" i="6"/>
  <c r="L103" i="6"/>
  <c r="L107" i="6"/>
  <c r="L91" i="6"/>
  <c r="L90" i="6"/>
  <c r="L89" i="6"/>
  <c r="M89" i="6" s="1"/>
  <c r="N89" i="6" s="1"/>
  <c r="L88" i="6"/>
  <c r="M88" i="6" s="1"/>
  <c r="N88" i="6" s="1"/>
  <c r="L87" i="6"/>
  <c r="L86" i="6"/>
  <c r="L85" i="6"/>
  <c r="M85" i="6" s="1"/>
  <c r="N85" i="6" s="1"/>
  <c r="L84" i="6"/>
  <c r="M84" i="6" s="1"/>
  <c r="N84" i="6" s="1"/>
  <c r="L93" i="6"/>
  <c r="I91" i="6"/>
  <c r="I90" i="6"/>
  <c r="I89" i="6"/>
  <c r="I87" i="6"/>
  <c r="I86" i="6"/>
  <c r="I85" i="6"/>
  <c r="I84" i="6"/>
  <c r="J84" i="6" s="1"/>
  <c r="K84" i="6" s="1"/>
  <c r="H23" i="6"/>
  <c r="H25" i="6"/>
  <c r="H27" i="6"/>
  <c r="H29" i="6"/>
  <c r="H31" i="6"/>
  <c r="H33" i="6"/>
  <c r="H35" i="6"/>
  <c r="H37" i="6"/>
  <c r="H39" i="6"/>
  <c r="H41" i="6"/>
  <c r="H43" i="6"/>
  <c r="H45" i="6"/>
  <c r="H47" i="6"/>
  <c r="H49" i="6"/>
  <c r="H51" i="6"/>
  <c r="H53" i="6"/>
  <c r="H55" i="6"/>
  <c r="H57" i="6"/>
  <c r="H59" i="6"/>
  <c r="H61" i="6"/>
  <c r="H63" i="6"/>
  <c r="H65" i="6"/>
  <c r="H67" i="6"/>
  <c r="H69" i="6"/>
  <c r="H71" i="6"/>
  <c r="H73" i="6"/>
  <c r="H75" i="6"/>
  <c r="H77" i="6"/>
  <c r="H79" i="6"/>
  <c r="H81" i="6"/>
  <c r="H83" i="6"/>
  <c r="H15" i="6"/>
  <c r="H18" i="6"/>
  <c r="H24" i="6"/>
  <c r="H32" i="6"/>
  <c r="H40" i="6"/>
  <c r="H48" i="6"/>
  <c r="H56" i="6"/>
  <c r="H68" i="6"/>
  <c r="H17" i="6"/>
  <c r="H22" i="6"/>
  <c r="H26" i="6"/>
  <c r="H30" i="6"/>
  <c r="H34" i="6"/>
  <c r="H38" i="6"/>
  <c r="H42" i="6"/>
  <c r="H46" i="6"/>
  <c r="H50" i="6"/>
  <c r="H54" i="6"/>
  <c r="H58" i="6"/>
  <c r="H62" i="6"/>
  <c r="H66" i="6"/>
  <c r="H70" i="6"/>
  <c r="H74" i="6"/>
  <c r="H78" i="6"/>
  <c r="H82" i="6"/>
  <c r="H16" i="6"/>
  <c r="H21" i="6"/>
  <c r="H28" i="6"/>
  <c r="H36" i="6"/>
  <c r="H44" i="6"/>
  <c r="H52" i="6"/>
  <c r="H60" i="6"/>
  <c r="H64" i="6"/>
  <c r="H72" i="6"/>
  <c r="H76" i="6"/>
  <c r="H14" i="6"/>
  <c r="H20" i="6"/>
  <c r="I22" i="6"/>
  <c r="I28" i="6"/>
  <c r="I32" i="6"/>
  <c r="I36" i="6"/>
  <c r="I40" i="6"/>
  <c r="I42" i="6"/>
  <c r="I44" i="6"/>
  <c r="I46" i="6"/>
  <c r="I48" i="6"/>
  <c r="I50" i="6"/>
  <c r="I52" i="6"/>
  <c r="I54" i="6"/>
  <c r="I56" i="6"/>
  <c r="I58" i="6"/>
  <c r="I62" i="6"/>
  <c r="I64" i="6"/>
  <c r="I66" i="6"/>
  <c r="I68" i="6"/>
  <c r="I70" i="6"/>
  <c r="I72" i="6"/>
  <c r="I74" i="6"/>
  <c r="I76" i="6"/>
  <c r="I78" i="6"/>
  <c r="I80" i="6"/>
  <c r="I82" i="6"/>
  <c r="I15" i="6"/>
  <c r="I17" i="6"/>
  <c r="I25" i="6"/>
  <c r="I33" i="6"/>
  <c r="I37" i="6"/>
  <c r="I41" i="6"/>
  <c r="I45" i="6"/>
  <c r="I49" i="6"/>
  <c r="I53" i="6"/>
  <c r="I57" i="6"/>
  <c r="I61" i="6"/>
  <c r="I65" i="6"/>
  <c r="I69" i="6"/>
  <c r="I73" i="6"/>
  <c r="I77" i="6"/>
  <c r="I81" i="6"/>
  <c r="I14" i="6"/>
  <c r="I27" i="6"/>
  <c r="I43" i="6"/>
  <c r="I59" i="6"/>
  <c r="I63" i="6"/>
  <c r="I71" i="6"/>
  <c r="I79" i="6"/>
  <c r="I16" i="6"/>
  <c r="I18" i="6"/>
  <c r="I23" i="6"/>
  <c r="I47" i="6"/>
  <c r="I67" i="6"/>
  <c r="I75" i="6"/>
  <c r="O16" i="6"/>
  <c r="O25" i="6"/>
  <c r="O26" i="6"/>
  <c r="O27" i="6"/>
  <c r="O32" i="6"/>
  <c r="O41" i="6"/>
  <c r="O42" i="6"/>
  <c r="O43" i="6"/>
  <c r="O48" i="6"/>
  <c r="O57" i="6"/>
  <c r="O58" i="6"/>
  <c r="O59" i="6"/>
  <c r="O64" i="6"/>
  <c r="O73" i="6"/>
  <c r="O74" i="6"/>
  <c r="O75" i="6"/>
  <c r="O80" i="6"/>
  <c r="O14" i="6"/>
  <c r="O15" i="6"/>
  <c r="O29" i="6"/>
  <c r="O30" i="6"/>
  <c r="O31" i="6"/>
  <c r="O36" i="6"/>
  <c r="O45" i="6"/>
  <c r="O46" i="6"/>
  <c r="O47" i="6"/>
  <c r="O52" i="6"/>
  <c r="O61" i="6"/>
  <c r="O62" i="6"/>
  <c r="O63" i="6"/>
  <c r="O68" i="6"/>
  <c r="O77" i="6"/>
  <c r="O78" i="6"/>
  <c r="O79" i="6"/>
  <c r="O17" i="6"/>
  <c r="O18" i="6"/>
  <c r="O24" i="6"/>
  <c r="O33" i="6"/>
  <c r="O34" i="6"/>
  <c r="O35" i="6"/>
  <c r="O40" i="6"/>
  <c r="O49" i="6"/>
  <c r="O50" i="6"/>
  <c r="O51" i="6"/>
  <c r="O56" i="6"/>
  <c r="O65" i="6"/>
  <c r="O66" i="6"/>
  <c r="O67" i="6"/>
  <c r="O72" i="6"/>
  <c r="O81" i="6"/>
  <c r="O82" i="6"/>
  <c r="O83" i="6"/>
  <c r="O39" i="6"/>
  <c r="O44" i="6"/>
  <c r="O54" i="6"/>
  <c r="O69" i="6"/>
  <c r="O21" i="6"/>
  <c r="O55" i="6"/>
  <c r="O60" i="6"/>
  <c r="O70" i="6"/>
  <c r="O37" i="6"/>
  <c r="O76" i="6"/>
  <c r="O22" i="6"/>
  <c r="O23" i="6"/>
  <c r="O53" i="6"/>
  <c r="O28" i="6"/>
  <c r="O38" i="6"/>
  <c r="O71" i="6"/>
  <c r="P71" i="6" s="1"/>
  <c r="Q71" i="6" s="1"/>
  <c r="L17" i="6"/>
  <c r="L21" i="6"/>
  <c r="L25" i="6"/>
  <c r="L29" i="6"/>
  <c r="L33" i="6"/>
  <c r="L37" i="6"/>
  <c r="L41" i="6"/>
  <c r="L45" i="6"/>
  <c r="L49" i="6"/>
  <c r="L53" i="6"/>
  <c r="L57" i="6"/>
  <c r="L61" i="6"/>
  <c r="L65" i="6"/>
  <c r="L69" i="6"/>
  <c r="L73" i="6"/>
  <c r="L77" i="6"/>
  <c r="L81" i="6"/>
  <c r="L14" i="6"/>
  <c r="L18" i="6"/>
  <c r="L22" i="6"/>
  <c r="L26" i="6"/>
  <c r="L30" i="6"/>
  <c r="L34" i="6"/>
  <c r="L38" i="6"/>
  <c r="L42" i="6"/>
  <c r="L46" i="6"/>
  <c r="L50" i="6"/>
  <c r="L54" i="6"/>
  <c r="L58" i="6"/>
  <c r="L15" i="6"/>
  <c r="L23" i="6"/>
  <c r="L27" i="6"/>
  <c r="L31" i="6"/>
  <c r="L35" i="6"/>
  <c r="L39" i="6"/>
  <c r="L43" i="6"/>
  <c r="L47" i="6"/>
  <c r="L51" i="6"/>
  <c r="L55" i="6"/>
  <c r="L59" i="6"/>
  <c r="L63" i="6"/>
  <c r="L67" i="6"/>
  <c r="L71" i="6"/>
  <c r="L75" i="6"/>
  <c r="L79" i="6"/>
  <c r="L83" i="6"/>
  <c r="L20" i="6"/>
  <c r="L36" i="6"/>
  <c r="L52" i="6"/>
  <c r="L64" i="6"/>
  <c r="L72" i="6"/>
  <c r="L80" i="6"/>
  <c r="L24" i="6"/>
  <c r="L40" i="6"/>
  <c r="L56" i="6"/>
  <c r="L66" i="6"/>
  <c r="L74" i="6"/>
  <c r="L82" i="6"/>
  <c r="L28" i="6"/>
  <c r="L60" i="6"/>
  <c r="L76" i="6"/>
  <c r="L68" i="6"/>
  <c r="L16" i="6"/>
  <c r="L70" i="6"/>
  <c r="L32" i="6"/>
  <c r="L62" i="6"/>
  <c r="L78" i="6"/>
  <c r="L44" i="6"/>
  <c r="L48" i="6"/>
  <c r="AF8" i="6"/>
  <c r="AK8" i="6"/>
  <c r="U13" i="6"/>
  <c r="U95" i="6" s="1"/>
  <c r="U97" i="6" s="1"/>
  <c r="AA13" i="6"/>
  <c r="O20" i="6"/>
  <c r="AU8" i="6"/>
  <c r="AZ8" i="6"/>
  <c r="BE8" i="6"/>
  <c r="AY8" i="6"/>
  <c r="BD8" i="6"/>
  <c r="AV8" i="6"/>
  <c r="BA8" i="6"/>
  <c r="AW8" i="6"/>
  <c r="BC8" i="6"/>
  <c r="AQ8" i="6"/>
  <c r="AJ8" i="6"/>
  <c r="AO8" i="6"/>
  <c r="AG8" i="6"/>
  <c r="Y13" i="6"/>
  <c r="Y95" i="6" s="1"/>
  <c r="Y97" i="6" s="1"/>
  <c r="AC13" i="6"/>
  <c r="AC95" i="6" s="1"/>
  <c r="AC97" i="6" s="1"/>
  <c r="I55" i="6"/>
  <c r="AD8" i="6"/>
  <c r="W8" i="6"/>
  <c r="S8" i="6"/>
  <c r="W13" i="6"/>
  <c r="W95" i="6" s="1"/>
  <c r="W97" i="6" s="1"/>
  <c r="O13" i="6"/>
  <c r="X13" i="6"/>
  <c r="X95" i="6" s="1"/>
  <c r="X97" i="6" s="1"/>
  <c r="I13" i="6"/>
  <c r="AA8" i="6"/>
  <c r="I30" i="6"/>
  <c r="I35" i="6"/>
  <c r="T13" i="6"/>
  <c r="T95" i="6" s="1"/>
  <c r="T97" i="6" s="1"/>
  <c r="Z13" i="6"/>
  <c r="AD13" i="6"/>
  <c r="AD95" i="6" s="1"/>
  <c r="AD97" i="6" s="1"/>
  <c r="I60" i="6"/>
  <c r="T8" i="6"/>
  <c r="X8" i="6"/>
  <c r="AB8" i="6"/>
  <c r="U8" i="6"/>
  <c r="AC8" i="6"/>
  <c r="AL8" i="6"/>
  <c r="AP8" i="6"/>
  <c r="V13" i="6"/>
  <c r="V95" i="6" s="1"/>
  <c r="V97" i="6" s="1"/>
  <c r="Y8" i="6"/>
  <c r="AH8" i="6"/>
  <c r="V8" i="6"/>
  <c r="Z8" i="6"/>
  <c r="AI8" i="6"/>
  <c r="AM8" i="6"/>
  <c r="AX8" i="6"/>
  <c r="BB8" i="6"/>
  <c r="AB13" i="6"/>
  <c r="AB95" i="6" s="1"/>
  <c r="AB97" i="6" s="1"/>
  <c r="P32" i="6" l="1"/>
  <c r="Q32" i="6" s="1"/>
  <c r="P90" i="6"/>
  <c r="Q90" i="6" s="1"/>
  <c r="J101" i="6"/>
  <c r="K101" i="6" s="1"/>
  <c r="P85" i="6"/>
  <c r="Q85" i="6" s="1"/>
  <c r="P89" i="6"/>
  <c r="Q89" i="6" s="1"/>
  <c r="J86" i="6"/>
  <c r="K86" i="6" s="1"/>
  <c r="J90" i="6"/>
  <c r="K90" i="6" s="1"/>
  <c r="P93" i="6"/>
  <c r="Q93" i="6" s="1"/>
  <c r="P87" i="6"/>
  <c r="Q87" i="6" s="1"/>
  <c r="P91" i="6"/>
  <c r="Q91" i="6" s="1"/>
  <c r="P105" i="6"/>
  <c r="Q105" i="6" s="1"/>
  <c r="P96" i="6"/>
  <c r="Q96" i="6" s="1"/>
  <c r="J87" i="6"/>
  <c r="K87" i="6" s="1"/>
  <c r="J91" i="6"/>
  <c r="K91" i="6" s="1"/>
  <c r="M86" i="6"/>
  <c r="N86" i="6" s="1"/>
  <c r="M90" i="6"/>
  <c r="N90" i="6" s="1"/>
  <c r="P101" i="6"/>
  <c r="Q101" i="6" s="1"/>
  <c r="M93" i="6"/>
  <c r="N93" i="6" s="1"/>
  <c r="M87" i="6"/>
  <c r="N87" i="6" s="1"/>
  <c r="M91" i="6"/>
  <c r="N91" i="6" s="1"/>
  <c r="M107" i="6"/>
  <c r="N107" i="6" s="1"/>
  <c r="M102" i="6"/>
  <c r="N102" i="6" s="1"/>
  <c r="P106" i="6"/>
  <c r="Q106" i="6" s="1"/>
  <c r="J102" i="6"/>
  <c r="K102" i="6" s="1"/>
  <c r="P44" i="6"/>
  <c r="Q44" i="6" s="1"/>
  <c r="H108" i="6"/>
  <c r="M108" i="6" s="1"/>
  <c r="N108" i="6" s="1"/>
  <c r="M96" i="6"/>
  <c r="N96" i="6" s="1"/>
  <c r="M105" i="6"/>
  <c r="N105" i="6" s="1"/>
  <c r="M104" i="6"/>
  <c r="N104" i="6" s="1"/>
  <c r="P107" i="6"/>
  <c r="Q107" i="6" s="1"/>
  <c r="P104" i="6"/>
  <c r="Q104" i="6" s="1"/>
  <c r="AR91" i="6"/>
  <c r="AR90" i="6"/>
  <c r="AR89" i="6"/>
  <c r="AR87" i="6"/>
  <c r="AR86" i="6"/>
  <c r="AR85" i="6"/>
  <c r="AR84" i="6"/>
  <c r="M103" i="6"/>
  <c r="N103" i="6" s="1"/>
  <c r="M100" i="6"/>
  <c r="N100" i="6" s="1"/>
  <c r="P76" i="6"/>
  <c r="Q76" i="6" s="1"/>
  <c r="P55" i="6"/>
  <c r="Q55" i="6" s="1"/>
  <c r="P52" i="6"/>
  <c r="Q52" i="6" s="1"/>
  <c r="BG91" i="6"/>
  <c r="BG90" i="6"/>
  <c r="BG89" i="6"/>
  <c r="BG88" i="6"/>
  <c r="BG87" i="6"/>
  <c r="BG86" i="6"/>
  <c r="BG85" i="6"/>
  <c r="BG84" i="6"/>
  <c r="BG93" i="6"/>
  <c r="P39" i="6"/>
  <c r="Q39" i="6" s="1"/>
  <c r="P72" i="6"/>
  <c r="Q72" i="6" s="1"/>
  <c r="P79" i="6"/>
  <c r="Q79" i="6" s="1"/>
  <c r="P47" i="6"/>
  <c r="Q47" i="6" s="1"/>
  <c r="J85" i="6"/>
  <c r="K85" i="6" s="1"/>
  <c r="J89" i="6"/>
  <c r="K89" i="6" s="1"/>
  <c r="J107" i="6"/>
  <c r="K107" i="6" s="1"/>
  <c r="P84" i="6"/>
  <c r="Q84" i="6" s="1"/>
  <c r="P88" i="6"/>
  <c r="Q88" i="6" s="1"/>
  <c r="M106" i="6"/>
  <c r="N106" i="6" s="1"/>
  <c r="M101" i="6"/>
  <c r="N101" i="6" s="1"/>
  <c r="P102" i="6"/>
  <c r="Q102" i="6" s="1"/>
  <c r="P103" i="6"/>
  <c r="Q103" i="6" s="1"/>
  <c r="P100" i="6"/>
  <c r="Q100" i="6" s="1"/>
  <c r="P68" i="6"/>
  <c r="Q68" i="6" s="1"/>
  <c r="P56" i="6"/>
  <c r="Q56" i="6" s="1"/>
  <c r="P63" i="6"/>
  <c r="Q63" i="6" s="1"/>
  <c r="P31" i="6"/>
  <c r="Q31" i="6" s="1"/>
  <c r="H13" i="6"/>
  <c r="J13" i="6" s="1"/>
  <c r="AA95" i="6"/>
  <c r="L13" i="6"/>
  <c r="Z95" i="6"/>
  <c r="P23" i="6"/>
  <c r="Q23" i="6" s="1"/>
  <c r="BG15" i="6"/>
  <c r="BG23" i="6"/>
  <c r="BG27" i="6"/>
  <c r="BG31" i="6"/>
  <c r="BG35" i="6"/>
  <c r="BG39" i="6"/>
  <c r="BG43" i="6"/>
  <c r="BG47" i="6"/>
  <c r="BG51" i="6"/>
  <c r="BG55" i="6"/>
  <c r="BG59" i="6"/>
  <c r="BG63" i="6"/>
  <c r="BG67" i="6"/>
  <c r="BG71" i="6"/>
  <c r="BG75" i="6"/>
  <c r="BG79" i="6"/>
  <c r="BG83" i="6"/>
  <c r="BG16" i="6"/>
  <c r="BG20" i="6"/>
  <c r="BG24" i="6"/>
  <c r="BG28" i="6"/>
  <c r="BG32" i="6"/>
  <c r="BG36" i="6"/>
  <c r="BG40" i="6"/>
  <c r="BG44" i="6"/>
  <c r="BG48" i="6"/>
  <c r="BG52" i="6"/>
  <c r="BG56" i="6"/>
  <c r="BG60" i="6"/>
  <c r="BG64" i="6"/>
  <c r="BG68" i="6"/>
  <c r="BG72" i="6"/>
  <c r="BG76" i="6"/>
  <c r="BG80" i="6"/>
  <c r="BG14" i="6"/>
  <c r="BG22" i="6"/>
  <c r="BG30" i="6"/>
  <c r="BG38" i="6"/>
  <c r="BG46" i="6"/>
  <c r="BG54" i="6"/>
  <c r="BG62" i="6"/>
  <c r="BG70" i="6"/>
  <c r="BG78" i="6"/>
  <c r="BG17" i="6"/>
  <c r="BG25" i="6"/>
  <c r="BG33" i="6"/>
  <c r="BG41" i="6"/>
  <c r="BG49" i="6"/>
  <c r="BG57" i="6"/>
  <c r="BG65" i="6"/>
  <c r="BG73" i="6"/>
  <c r="BG81" i="6"/>
  <c r="BG18" i="6"/>
  <c r="BG26" i="6"/>
  <c r="BG34" i="6"/>
  <c r="BG42" i="6"/>
  <c r="BG50" i="6"/>
  <c r="BG58" i="6"/>
  <c r="BG66" i="6"/>
  <c r="BG74" i="6"/>
  <c r="BG82" i="6"/>
  <c r="BG21" i="6"/>
  <c r="BG29" i="6"/>
  <c r="BG37" i="6"/>
  <c r="BG45" i="6"/>
  <c r="BG53" i="6"/>
  <c r="BG61" i="6"/>
  <c r="BG69" i="6"/>
  <c r="BG77" i="6"/>
  <c r="P24" i="6"/>
  <c r="Q24" i="6" s="1"/>
  <c r="P20" i="6"/>
  <c r="Q20" i="6" s="1"/>
  <c r="AR14" i="6"/>
  <c r="AR18" i="6"/>
  <c r="AR22" i="6"/>
  <c r="AR30" i="6"/>
  <c r="AR42" i="6"/>
  <c r="AR46" i="6"/>
  <c r="AR50" i="6"/>
  <c r="AR54" i="6"/>
  <c r="AR58" i="6"/>
  <c r="AR62" i="6"/>
  <c r="AR66" i="6"/>
  <c r="AR70" i="6"/>
  <c r="AR78" i="6"/>
  <c r="AR82" i="6"/>
  <c r="AR25" i="6"/>
  <c r="AR33" i="6"/>
  <c r="AR45" i="6"/>
  <c r="AR57" i="6"/>
  <c r="AR73" i="6"/>
  <c r="AR15" i="6"/>
  <c r="AR23" i="6"/>
  <c r="AR27" i="6"/>
  <c r="AR31" i="6"/>
  <c r="AR35" i="6"/>
  <c r="AR43" i="6"/>
  <c r="AR47" i="6"/>
  <c r="AR51" i="6"/>
  <c r="AR55" i="6"/>
  <c r="AR59" i="6"/>
  <c r="AR63" i="6"/>
  <c r="AR67" i="6"/>
  <c r="AR71" i="6"/>
  <c r="AR79" i="6"/>
  <c r="AR41" i="6"/>
  <c r="AR53" i="6"/>
  <c r="AR65" i="6"/>
  <c r="AR77" i="6"/>
  <c r="AR16" i="6"/>
  <c r="AR28" i="6"/>
  <c r="AR32" i="6"/>
  <c r="AR36" i="6"/>
  <c r="AR40" i="6"/>
  <c r="AR44" i="6"/>
  <c r="AR48" i="6"/>
  <c r="AR52" i="6"/>
  <c r="AR56" i="6"/>
  <c r="AR60" i="6"/>
  <c r="AR64" i="6"/>
  <c r="AR68" i="6"/>
  <c r="AR72" i="6"/>
  <c r="AR76" i="6"/>
  <c r="AR80" i="6"/>
  <c r="AR17" i="6"/>
  <c r="AR37" i="6"/>
  <c r="AR49" i="6"/>
  <c r="AR61" i="6"/>
  <c r="AR69" i="6"/>
  <c r="AR81" i="6"/>
  <c r="P60" i="6"/>
  <c r="Q60" i="6" s="1"/>
  <c r="P83" i="6"/>
  <c r="Q83" i="6" s="1"/>
  <c r="P67" i="6"/>
  <c r="Q67" i="6" s="1"/>
  <c r="P51" i="6"/>
  <c r="Q51" i="6" s="1"/>
  <c r="P35" i="6"/>
  <c r="Q35" i="6" s="1"/>
  <c r="P15" i="6"/>
  <c r="Q15" i="6" s="1"/>
  <c r="P80" i="6"/>
  <c r="Q80" i="6" s="1"/>
  <c r="M64" i="6"/>
  <c r="N64" i="6" s="1"/>
  <c r="J64" i="6"/>
  <c r="K64" i="6" s="1"/>
  <c r="M78" i="6"/>
  <c r="N78" i="6" s="1"/>
  <c r="P78" i="6"/>
  <c r="Q78" i="6" s="1"/>
  <c r="J78" i="6"/>
  <c r="K78" i="6" s="1"/>
  <c r="M46" i="6"/>
  <c r="N46" i="6" s="1"/>
  <c r="P46" i="6"/>
  <c r="Q46" i="6" s="1"/>
  <c r="J46" i="6"/>
  <c r="K46" i="6" s="1"/>
  <c r="M18" i="6"/>
  <c r="N18" i="6" s="1"/>
  <c r="J18" i="6"/>
  <c r="K18" i="6" s="1"/>
  <c r="P18" i="6"/>
  <c r="Q18" i="6" s="1"/>
  <c r="M77" i="6"/>
  <c r="N77" i="6" s="1"/>
  <c r="P77" i="6"/>
  <c r="Q77" i="6" s="1"/>
  <c r="J77" i="6"/>
  <c r="K77" i="6" s="1"/>
  <c r="M61" i="6"/>
  <c r="N61" i="6" s="1"/>
  <c r="P61" i="6"/>
  <c r="Q61" i="6" s="1"/>
  <c r="J61" i="6"/>
  <c r="K61" i="6" s="1"/>
  <c r="M45" i="6"/>
  <c r="N45" i="6" s="1"/>
  <c r="P45" i="6"/>
  <c r="Q45" i="6" s="1"/>
  <c r="J45" i="6"/>
  <c r="K45" i="6" s="1"/>
  <c r="M29" i="6"/>
  <c r="N29" i="6" s="1"/>
  <c r="P29" i="6"/>
  <c r="Q29" i="6" s="1"/>
  <c r="P48" i="6"/>
  <c r="Q48" i="6" s="1"/>
  <c r="P16" i="6"/>
  <c r="Q16" i="6" s="1"/>
  <c r="M60" i="6"/>
  <c r="N60" i="6" s="1"/>
  <c r="J60" i="6"/>
  <c r="K60" i="6" s="1"/>
  <c r="P58" i="6"/>
  <c r="Q58" i="6" s="1"/>
  <c r="J58" i="6"/>
  <c r="K58" i="6" s="1"/>
  <c r="M58" i="6"/>
  <c r="N58" i="6" s="1"/>
  <c r="P26" i="6"/>
  <c r="Q26" i="6" s="1"/>
  <c r="M26" i="6"/>
  <c r="N26" i="6" s="1"/>
  <c r="M40" i="6"/>
  <c r="N40" i="6" s="1"/>
  <c r="J40" i="6"/>
  <c r="K40" i="6" s="1"/>
  <c r="M83" i="6"/>
  <c r="N83" i="6" s="1"/>
  <c r="M67" i="6"/>
  <c r="N67" i="6" s="1"/>
  <c r="J67" i="6"/>
  <c r="K67" i="6" s="1"/>
  <c r="M59" i="6"/>
  <c r="N59" i="6" s="1"/>
  <c r="J59" i="6"/>
  <c r="K59" i="6" s="1"/>
  <c r="M51" i="6"/>
  <c r="N51" i="6" s="1"/>
  <c r="J51" i="6"/>
  <c r="K51" i="6" s="1"/>
  <c r="M43" i="6"/>
  <c r="N43" i="6" s="1"/>
  <c r="J43" i="6"/>
  <c r="K43" i="6" s="1"/>
  <c r="M27" i="6"/>
  <c r="N27" i="6" s="1"/>
  <c r="J27" i="6"/>
  <c r="K27" i="6" s="1"/>
  <c r="AE37" i="6"/>
  <c r="AE95" i="6"/>
  <c r="AE55" i="6"/>
  <c r="AE28" i="6"/>
  <c r="AE46" i="6"/>
  <c r="P75" i="6"/>
  <c r="Q75" i="6" s="1"/>
  <c r="P59" i="6"/>
  <c r="Q59" i="6" s="1"/>
  <c r="P43" i="6"/>
  <c r="Q43" i="6" s="1"/>
  <c r="P27" i="6"/>
  <c r="Q27" i="6" s="1"/>
  <c r="M76" i="6"/>
  <c r="N76" i="6" s="1"/>
  <c r="J76" i="6"/>
  <c r="K76" i="6" s="1"/>
  <c r="M52" i="6"/>
  <c r="N52" i="6" s="1"/>
  <c r="J52" i="6"/>
  <c r="K52" i="6" s="1"/>
  <c r="P21" i="6"/>
  <c r="Q21" i="6" s="1"/>
  <c r="M21" i="6"/>
  <c r="N21" i="6" s="1"/>
  <c r="P70" i="6"/>
  <c r="Q70" i="6" s="1"/>
  <c r="M70" i="6"/>
  <c r="N70" i="6" s="1"/>
  <c r="J70" i="6"/>
  <c r="K70" i="6" s="1"/>
  <c r="P54" i="6"/>
  <c r="Q54" i="6" s="1"/>
  <c r="M54" i="6"/>
  <c r="N54" i="6" s="1"/>
  <c r="J54" i="6"/>
  <c r="K54" i="6" s="1"/>
  <c r="P38" i="6"/>
  <c r="Q38" i="6" s="1"/>
  <c r="M38" i="6"/>
  <c r="N38" i="6" s="1"/>
  <c r="P22" i="6"/>
  <c r="Q22" i="6" s="1"/>
  <c r="M22" i="6"/>
  <c r="N22" i="6" s="1"/>
  <c r="J22" i="6"/>
  <c r="K22" i="6" s="1"/>
  <c r="M68" i="6"/>
  <c r="N68" i="6" s="1"/>
  <c r="J68" i="6"/>
  <c r="K68" i="6" s="1"/>
  <c r="M32" i="6"/>
  <c r="N32" i="6" s="1"/>
  <c r="J32" i="6"/>
  <c r="K32" i="6" s="1"/>
  <c r="M81" i="6"/>
  <c r="N81" i="6" s="1"/>
  <c r="J81" i="6"/>
  <c r="K81" i="6" s="1"/>
  <c r="P81" i="6"/>
  <c r="Q81" i="6" s="1"/>
  <c r="P73" i="6"/>
  <c r="Q73" i="6" s="1"/>
  <c r="M73" i="6"/>
  <c r="N73" i="6" s="1"/>
  <c r="J73" i="6"/>
  <c r="K73" i="6" s="1"/>
  <c r="M65" i="6"/>
  <c r="N65" i="6" s="1"/>
  <c r="P65" i="6"/>
  <c r="Q65" i="6" s="1"/>
  <c r="J65" i="6"/>
  <c r="K65" i="6" s="1"/>
  <c r="P57" i="6"/>
  <c r="Q57" i="6" s="1"/>
  <c r="M57" i="6"/>
  <c r="N57" i="6" s="1"/>
  <c r="J57" i="6"/>
  <c r="K57" i="6" s="1"/>
  <c r="M49" i="6"/>
  <c r="N49" i="6" s="1"/>
  <c r="P49" i="6"/>
  <c r="Q49" i="6" s="1"/>
  <c r="J49" i="6"/>
  <c r="K49" i="6" s="1"/>
  <c r="P41" i="6"/>
  <c r="Q41" i="6" s="1"/>
  <c r="M41" i="6"/>
  <c r="N41" i="6" s="1"/>
  <c r="J41" i="6"/>
  <c r="K41" i="6" s="1"/>
  <c r="M33" i="6"/>
  <c r="N33" i="6" s="1"/>
  <c r="J33" i="6"/>
  <c r="K33" i="6" s="1"/>
  <c r="P33" i="6"/>
  <c r="Q33" i="6" s="1"/>
  <c r="P25" i="6"/>
  <c r="Q25" i="6" s="1"/>
  <c r="M25" i="6"/>
  <c r="N25" i="6" s="1"/>
  <c r="J25" i="6"/>
  <c r="K25" i="6" s="1"/>
  <c r="M14" i="6"/>
  <c r="N14" i="6" s="1"/>
  <c r="P14" i="6"/>
  <c r="Q14" i="6" s="1"/>
  <c r="J14" i="6"/>
  <c r="K14" i="6" s="1"/>
  <c r="M36" i="6"/>
  <c r="N36" i="6" s="1"/>
  <c r="J36" i="6"/>
  <c r="K36" i="6" s="1"/>
  <c r="M16" i="6"/>
  <c r="N16" i="6" s="1"/>
  <c r="J16" i="6"/>
  <c r="K16" i="6" s="1"/>
  <c r="M62" i="6"/>
  <c r="N62" i="6" s="1"/>
  <c r="P62" i="6"/>
  <c r="Q62" i="6" s="1"/>
  <c r="J62" i="6"/>
  <c r="K62" i="6" s="1"/>
  <c r="M30" i="6"/>
  <c r="N30" i="6" s="1"/>
  <c r="P30" i="6"/>
  <c r="Q30" i="6" s="1"/>
  <c r="J30" i="6"/>
  <c r="K30" i="6" s="1"/>
  <c r="M48" i="6"/>
  <c r="N48" i="6" s="1"/>
  <c r="J48" i="6"/>
  <c r="K48" i="6" s="1"/>
  <c r="P69" i="6"/>
  <c r="Q69" i="6" s="1"/>
  <c r="M69" i="6"/>
  <c r="N69" i="6" s="1"/>
  <c r="J69" i="6"/>
  <c r="K69" i="6" s="1"/>
  <c r="P53" i="6"/>
  <c r="Q53" i="6" s="1"/>
  <c r="M53" i="6"/>
  <c r="N53" i="6" s="1"/>
  <c r="J53" i="6"/>
  <c r="K53" i="6" s="1"/>
  <c r="P37" i="6"/>
  <c r="Q37" i="6" s="1"/>
  <c r="M37" i="6"/>
  <c r="N37" i="6" s="1"/>
  <c r="J37" i="6"/>
  <c r="K37" i="6" s="1"/>
  <c r="P64" i="6"/>
  <c r="Q64" i="6" s="1"/>
  <c r="M28" i="6"/>
  <c r="N28" i="6" s="1"/>
  <c r="J28" i="6"/>
  <c r="K28" i="6" s="1"/>
  <c r="P74" i="6"/>
  <c r="Q74" i="6" s="1"/>
  <c r="M74" i="6"/>
  <c r="N74" i="6" s="1"/>
  <c r="J74" i="6"/>
  <c r="K74" i="6" s="1"/>
  <c r="P42" i="6"/>
  <c r="Q42" i="6" s="1"/>
  <c r="J42" i="6"/>
  <c r="K42" i="6" s="1"/>
  <c r="M42" i="6"/>
  <c r="N42" i="6" s="1"/>
  <c r="M80" i="6"/>
  <c r="N80" i="6" s="1"/>
  <c r="J80" i="6"/>
  <c r="K80" i="6" s="1"/>
  <c r="J15" i="6"/>
  <c r="K15" i="6" s="1"/>
  <c r="M15" i="6"/>
  <c r="N15" i="6" s="1"/>
  <c r="M75" i="6"/>
  <c r="N75" i="6" s="1"/>
  <c r="J75" i="6"/>
  <c r="K75" i="6" s="1"/>
  <c r="M35" i="6"/>
  <c r="N35" i="6" s="1"/>
  <c r="J35" i="6"/>
  <c r="K35" i="6" s="1"/>
  <c r="P28" i="6"/>
  <c r="Q28" i="6" s="1"/>
  <c r="P40" i="6"/>
  <c r="Q40" i="6" s="1"/>
  <c r="P36" i="6"/>
  <c r="Q36" i="6" s="1"/>
  <c r="M20" i="6"/>
  <c r="N20" i="6" s="1"/>
  <c r="M72" i="6"/>
  <c r="N72" i="6" s="1"/>
  <c r="J72" i="6"/>
  <c r="K72" i="6" s="1"/>
  <c r="M44" i="6"/>
  <c r="N44" i="6" s="1"/>
  <c r="J44" i="6"/>
  <c r="K44" i="6" s="1"/>
  <c r="M82" i="6"/>
  <c r="N82" i="6" s="1"/>
  <c r="J82" i="6"/>
  <c r="K82" i="6" s="1"/>
  <c r="P82" i="6"/>
  <c r="Q82" i="6" s="1"/>
  <c r="M66" i="6"/>
  <c r="N66" i="6" s="1"/>
  <c r="J66" i="6"/>
  <c r="K66" i="6" s="1"/>
  <c r="P66" i="6"/>
  <c r="Q66" i="6" s="1"/>
  <c r="M50" i="6"/>
  <c r="N50" i="6" s="1"/>
  <c r="J50" i="6"/>
  <c r="K50" i="6" s="1"/>
  <c r="P50" i="6"/>
  <c r="Q50" i="6" s="1"/>
  <c r="M34" i="6"/>
  <c r="N34" i="6" s="1"/>
  <c r="P34" i="6"/>
  <c r="Q34" i="6" s="1"/>
  <c r="M17" i="6"/>
  <c r="N17" i="6" s="1"/>
  <c r="J17" i="6"/>
  <c r="K17" i="6" s="1"/>
  <c r="P17" i="6"/>
  <c r="Q17" i="6" s="1"/>
  <c r="M56" i="6"/>
  <c r="N56" i="6" s="1"/>
  <c r="J56" i="6"/>
  <c r="K56" i="6" s="1"/>
  <c r="M24" i="6"/>
  <c r="N24" i="6" s="1"/>
  <c r="M79" i="6"/>
  <c r="N79" i="6" s="1"/>
  <c r="J79" i="6"/>
  <c r="K79" i="6" s="1"/>
  <c r="M71" i="6"/>
  <c r="N71" i="6" s="1"/>
  <c r="J71" i="6"/>
  <c r="K71" i="6" s="1"/>
  <c r="J63" i="6"/>
  <c r="K63" i="6" s="1"/>
  <c r="M63" i="6"/>
  <c r="N63" i="6" s="1"/>
  <c r="M55" i="6"/>
  <c r="N55" i="6" s="1"/>
  <c r="J55" i="6"/>
  <c r="K55" i="6" s="1"/>
  <c r="M47" i="6"/>
  <c r="N47" i="6" s="1"/>
  <c r="J47" i="6"/>
  <c r="K47" i="6" s="1"/>
  <c r="M39" i="6"/>
  <c r="N39" i="6" s="1"/>
  <c r="M31" i="6"/>
  <c r="N31" i="6" s="1"/>
  <c r="J31" i="6"/>
  <c r="K31" i="6" s="1"/>
  <c r="M23" i="6"/>
  <c r="N23" i="6" s="1"/>
  <c r="J23" i="6"/>
  <c r="K23" i="6" s="1"/>
  <c r="BG13" i="6"/>
  <c r="AR13" i="6"/>
  <c r="AR95" i="6" s="1"/>
  <c r="P108" i="6" l="1"/>
  <c r="Q108" i="6" s="1"/>
  <c r="Z97" i="6"/>
  <c r="L97" i="6" s="1"/>
  <c r="L95" i="6"/>
  <c r="P13" i="6"/>
  <c r="Q13" i="6" s="1"/>
  <c r="M13" i="6"/>
  <c r="N13" i="6" s="1"/>
  <c r="AA97" i="6"/>
  <c r="H97" i="6" s="1"/>
  <c r="H95" i="6"/>
  <c r="AS95" i="6"/>
  <c r="AT95" i="6" s="1"/>
  <c r="BH26" i="6"/>
  <c r="BI26" i="6" s="1"/>
  <c r="AR107" i="6"/>
  <c r="AR106" i="6"/>
  <c r="AR101" i="6"/>
  <c r="AR102" i="6"/>
  <c r="AS80" i="6"/>
  <c r="AT80" i="6" s="1"/>
  <c r="BH80" i="6"/>
  <c r="BI80" i="6" s="1"/>
  <c r="AS48" i="6"/>
  <c r="AT48" i="6" s="1"/>
  <c r="BH48" i="6"/>
  <c r="BI48" i="6" s="1"/>
  <c r="BH16" i="6"/>
  <c r="BI16" i="6" s="1"/>
  <c r="AS16" i="6"/>
  <c r="AT16" i="6" s="1"/>
  <c r="AS67" i="6"/>
  <c r="AT67" i="6" s="1"/>
  <c r="BH67" i="6"/>
  <c r="BI67" i="6" s="1"/>
  <c r="AS35" i="6"/>
  <c r="AT35" i="6" s="1"/>
  <c r="BH35" i="6"/>
  <c r="BI35" i="6" s="1"/>
  <c r="BH82" i="6"/>
  <c r="BI82" i="6" s="1"/>
  <c r="AS82" i="6"/>
  <c r="AT82" i="6" s="1"/>
  <c r="BH66" i="6"/>
  <c r="BI66" i="6" s="1"/>
  <c r="AS66" i="6"/>
  <c r="AT66" i="6" s="1"/>
  <c r="BH50" i="6"/>
  <c r="BI50" i="6" s="1"/>
  <c r="AS50" i="6"/>
  <c r="AT50" i="6" s="1"/>
  <c r="BH34" i="6"/>
  <c r="BI34" i="6" s="1"/>
  <c r="AS18" i="6"/>
  <c r="AT18" i="6" s="1"/>
  <c r="BH18" i="6"/>
  <c r="BI18" i="6" s="1"/>
  <c r="BH68" i="6"/>
  <c r="BI68" i="6" s="1"/>
  <c r="AS68" i="6"/>
  <c r="AT68" i="6" s="1"/>
  <c r="BH36" i="6"/>
  <c r="BI36" i="6" s="1"/>
  <c r="AS36" i="6"/>
  <c r="AT36" i="6" s="1"/>
  <c r="AS79" i="6"/>
  <c r="AT79" i="6" s="1"/>
  <c r="BH79" i="6"/>
  <c r="BI79" i="6" s="1"/>
  <c r="AS51" i="6"/>
  <c r="AT51" i="6" s="1"/>
  <c r="BH51" i="6"/>
  <c r="BI51" i="6" s="1"/>
  <c r="BH14" i="6"/>
  <c r="BI14" i="6" s="1"/>
  <c r="AS14" i="6"/>
  <c r="AT14" i="6" s="1"/>
  <c r="BH69" i="6"/>
  <c r="BI69" i="6" s="1"/>
  <c r="AS69" i="6"/>
  <c r="AT69" i="6" s="1"/>
  <c r="BH53" i="6"/>
  <c r="BI53" i="6" s="1"/>
  <c r="AS53" i="6"/>
  <c r="AT53" i="6" s="1"/>
  <c r="BH37" i="6"/>
  <c r="BI37" i="6" s="1"/>
  <c r="AS37" i="6"/>
  <c r="AT37" i="6" s="1"/>
  <c r="BH21" i="6"/>
  <c r="BI21" i="6" s="1"/>
  <c r="AS72" i="6"/>
  <c r="AT72" i="6" s="1"/>
  <c r="BH72" i="6"/>
  <c r="BI72" i="6" s="1"/>
  <c r="AS40" i="6"/>
  <c r="AT40" i="6" s="1"/>
  <c r="BH40" i="6"/>
  <c r="BI40" i="6" s="1"/>
  <c r="AS59" i="6"/>
  <c r="AT59" i="6" s="1"/>
  <c r="BH59" i="6"/>
  <c r="BI59" i="6" s="1"/>
  <c r="AS27" i="6"/>
  <c r="AT27" i="6" s="1"/>
  <c r="BH27" i="6"/>
  <c r="BI27" i="6" s="1"/>
  <c r="BH78" i="6"/>
  <c r="BI78" i="6" s="1"/>
  <c r="AS78" i="6"/>
  <c r="AT78" i="6" s="1"/>
  <c r="BH62" i="6"/>
  <c r="BI62" i="6" s="1"/>
  <c r="AS62" i="6"/>
  <c r="AT62" i="6" s="1"/>
  <c r="BH46" i="6"/>
  <c r="BI46" i="6" s="1"/>
  <c r="AS46" i="6"/>
  <c r="AT46" i="6" s="1"/>
  <c r="BH30" i="6"/>
  <c r="BI30" i="6" s="1"/>
  <c r="AS30" i="6"/>
  <c r="AT30" i="6" s="1"/>
  <c r="BH60" i="6"/>
  <c r="BI60" i="6" s="1"/>
  <c r="AS60" i="6"/>
  <c r="AT60" i="6" s="1"/>
  <c r="AS28" i="6"/>
  <c r="AT28" i="6" s="1"/>
  <c r="BH28" i="6"/>
  <c r="BI28" i="6" s="1"/>
  <c r="BH71" i="6"/>
  <c r="BI71" i="6" s="1"/>
  <c r="AS71" i="6"/>
  <c r="AT71" i="6" s="1"/>
  <c r="AS43" i="6"/>
  <c r="AT43" i="6" s="1"/>
  <c r="BH43" i="6"/>
  <c r="BI43" i="6" s="1"/>
  <c r="AS81" i="6"/>
  <c r="AT81" i="6" s="1"/>
  <c r="BH81" i="6"/>
  <c r="BI81" i="6" s="1"/>
  <c r="AS65" i="6"/>
  <c r="AT65" i="6" s="1"/>
  <c r="BH65" i="6"/>
  <c r="BI65" i="6" s="1"/>
  <c r="AS49" i="6"/>
  <c r="AT49" i="6" s="1"/>
  <c r="BH49" i="6"/>
  <c r="BI49" i="6" s="1"/>
  <c r="AS33" i="6"/>
  <c r="AT33" i="6" s="1"/>
  <c r="BH33" i="6"/>
  <c r="BI33" i="6" s="1"/>
  <c r="BH17" i="6"/>
  <c r="BI17" i="6" s="1"/>
  <c r="AS17" i="6"/>
  <c r="AT17" i="6" s="1"/>
  <c r="AS64" i="6"/>
  <c r="AT64" i="6" s="1"/>
  <c r="BH64" i="6"/>
  <c r="BI64" i="6" s="1"/>
  <c r="AS32" i="6"/>
  <c r="AT32" i="6" s="1"/>
  <c r="BH32" i="6"/>
  <c r="BI32" i="6" s="1"/>
  <c r="AS47" i="6"/>
  <c r="AT47" i="6" s="1"/>
  <c r="BH47" i="6"/>
  <c r="BI47" i="6" s="1"/>
  <c r="BH74" i="6"/>
  <c r="BI74" i="6" s="1"/>
  <c r="BH58" i="6"/>
  <c r="BI58" i="6" s="1"/>
  <c r="AS58" i="6"/>
  <c r="AT58" i="6" s="1"/>
  <c r="BH42" i="6"/>
  <c r="BI42" i="6" s="1"/>
  <c r="AS42" i="6"/>
  <c r="AT42" i="6" s="1"/>
  <c r="BH52" i="6"/>
  <c r="BI52" i="6" s="1"/>
  <c r="AS52" i="6"/>
  <c r="AT52" i="6" s="1"/>
  <c r="BH20" i="6"/>
  <c r="BI20" i="6" s="1"/>
  <c r="AS63" i="6"/>
  <c r="AT63" i="6" s="1"/>
  <c r="BH63" i="6"/>
  <c r="BI63" i="6" s="1"/>
  <c r="AS31" i="6"/>
  <c r="AT31" i="6" s="1"/>
  <c r="BH31" i="6"/>
  <c r="BI31" i="6" s="1"/>
  <c r="BH77" i="6"/>
  <c r="BI77" i="6" s="1"/>
  <c r="AS77" i="6"/>
  <c r="AT77" i="6" s="1"/>
  <c r="BH61" i="6"/>
  <c r="BI61" i="6" s="1"/>
  <c r="AS61" i="6"/>
  <c r="AT61" i="6" s="1"/>
  <c r="BH45" i="6"/>
  <c r="BI45" i="6" s="1"/>
  <c r="AS45" i="6"/>
  <c r="AT45" i="6" s="1"/>
  <c r="BH29" i="6"/>
  <c r="BI29" i="6" s="1"/>
  <c r="AS15" i="6"/>
  <c r="AT15" i="6" s="1"/>
  <c r="BH15" i="6"/>
  <c r="BI15" i="6" s="1"/>
  <c r="AS56" i="6"/>
  <c r="AT56" i="6" s="1"/>
  <c r="BH56" i="6"/>
  <c r="BI56" i="6" s="1"/>
  <c r="BH24" i="6"/>
  <c r="BI24" i="6" s="1"/>
  <c r="BH75" i="6"/>
  <c r="BI75" i="6" s="1"/>
  <c r="BH39" i="6"/>
  <c r="BI39" i="6" s="1"/>
  <c r="BH70" i="6"/>
  <c r="BI70" i="6" s="1"/>
  <c r="AS70" i="6"/>
  <c r="AT70" i="6" s="1"/>
  <c r="BH54" i="6"/>
  <c r="BI54" i="6" s="1"/>
  <c r="AS54" i="6"/>
  <c r="AT54" i="6" s="1"/>
  <c r="BH38" i="6"/>
  <c r="BI38" i="6" s="1"/>
  <c r="AS22" i="6"/>
  <c r="AT22" i="6" s="1"/>
  <c r="BH22" i="6"/>
  <c r="BI22" i="6" s="1"/>
  <c r="BH76" i="6"/>
  <c r="BI76" i="6" s="1"/>
  <c r="AS76" i="6"/>
  <c r="AT76" i="6" s="1"/>
  <c r="BH44" i="6"/>
  <c r="BI44" i="6" s="1"/>
  <c r="AS44" i="6"/>
  <c r="AT44" i="6" s="1"/>
  <c r="BH55" i="6"/>
  <c r="BI55" i="6" s="1"/>
  <c r="AS55" i="6"/>
  <c r="AT55" i="6" s="1"/>
  <c r="AS23" i="6"/>
  <c r="AT23" i="6" s="1"/>
  <c r="BH23" i="6"/>
  <c r="BI23" i="6" s="1"/>
  <c r="AS73" i="6"/>
  <c r="AT73" i="6" s="1"/>
  <c r="BH73" i="6"/>
  <c r="BI73" i="6" s="1"/>
  <c r="AS57" i="6"/>
  <c r="AT57" i="6" s="1"/>
  <c r="BH57" i="6"/>
  <c r="BI57" i="6" s="1"/>
  <c r="AS41" i="6"/>
  <c r="AT41" i="6" s="1"/>
  <c r="BH41" i="6"/>
  <c r="BI41" i="6" s="1"/>
  <c r="AS25" i="6"/>
  <c r="AT25" i="6" s="1"/>
  <c r="BH25" i="6"/>
  <c r="BI25" i="6" s="1"/>
  <c r="K13" i="6"/>
  <c r="BH13" i="6"/>
  <c r="BI13" i="6" s="1"/>
  <c r="AS13" i="6"/>
  <c r="AT13" i="6" s="1"/>
  <c r="J95" i="6" l="1"/>
  <c r="K95" i="6" s="1"/>
  <c r="P95" i="6"/>
  <c r="Q95" i="6" s="1"/>
  <c r="M95" i="6"/>
  <c r="N95" i="6" s="1"/>
  <c r="M97" i="6"/>
  <c r="N97" i="6" s="1"/>
  <c r="P97" i="6"/>
  <c r="Q97" i="6" s="1"/>
  <c r="J63" i="3"/>
  <c r="J64" i="3" s="1"/>
  <c r="K63" i="3"/>
  <c r="K64" i="3" s="1"/>
  <c r="L63" i="3"/>
  <c r="L64" i="3" s="1"/>
  <c r="M63" i="3"/>
  <c r="M64" i="3" s="1"/>
  <c r="N63" i="3"/>
  <c r="N64" i="3" s="1"/>
  <c r="O63" i="3"/>
  <c r="O64" i="3" s="1"/>
  <c r="P63" i="3"/>
  <c r="P64" i="3" s="1"/>
  <c r="Q63" i="3"/>
  <c r="Q64" i="3" s="1"/>
  <c r="R63" i="3"/>
  <c r="R64" i="3" s="1"/>
  <c r="S63" i="3"/>
  <c r="S64" i="3" s="1"/>
  <c r="T63" i="3"/>
  <c r="T64" i="3" s="1"/>
  <c r="I63" i="3"/>
  <c r="I64" i="3" s="1"/>
  <c r="J40" i="3"/>
  <c r="J41" i="3" s="1"/>
  <c r="K40" i="3"/>
  <c r="K41" i="3" s="1"/>
  <c r="L40" i="3"/>
  <c r="L41" i="3" s="1"/>
  <c r="M40" i="3"/>
  <c r="M41" i="3" s="1"/>
  <c r="N40" i="3"/>
  <c r="N41" i="3" s="1"/>
  <c r="O40" i="3"/>
  <c r="O41" i="3" s="1"/>
  <c r="P40" i="3"/>
  <c r="P41" i="3" s="1"/>
  <c r="Q40" i="3"/>
  <c r="Q41" i="3" s="1"/>
  <c r="R40" i="3"/>
  <c r="R41" i="3" s="1"/>
  <c r="S40" i="3"/>
  <c r="S41" i="3" s="1"/>
  <c r="T40" i="3"/>
  <c r="T41" i="3" s="1"/>
  <c r="I40" i="3"/>
  <c r="I41" i="3" s="1"/>
  <c r="J31" i="3"/>
  <c r="J32" i="3" s="1"/>
  <c r="K31" i="3"/>
  <c r="K32" i="3" s="1"/>
  <c r="L31" i="3"/>
  <c r="L32" i="3" s="1"/>
  <c r="M31" i="3"/>
  <c r="M32" i="3" s="1"/>
  <c r="N31" i="3"/>
  <c r="N32" i="3" s="1"/>
  <c r="O31" i="3"/>
  <c r="O32" i="3" s="1"/>
  <c r="P31" i="3"/>
  <c r="P32" i="3" s="1"/>
  <c r="Q31" i="3"/>
  <c r="Q32" i="3" s="1"/>
  <c r="R31" i="3"/>
  <c r="R32" i="3" s="1"/>
  <c r="S31" i="3"/>
  <c r="S32" i="3" s="1"/>
  <c r="T31" i="3"/>
  <c r="T32" i="3" s="1"/>
  <c r="I31" i="3"/>
  <c r="I32" i="3" s="1"/>
  <c r="AL26" i="6" l="1"/>
  <c r="AL105" i="6" s="1"/>
  <c r="AH26" i="6"/>
  <c r="AH105" i="6" s="1"/>
  <c r="AL24" i="6"/>
  <c r="AL103" i="6" s="1"/>
  <c r="AH24" i="6"/>
  <c r="AH103" i="6" s="1"/>
  <c r="AL34" i="6"/>
  <c r="AH34" i="6"/>
  <c r="AP88" i="6"/>
  <c r="AP83" i="6" s="1"/>
  <c r="AL88" i="6"/>
  <c r="AL83" i="6" s="1"/>
  <c r="AH88" i="6"/>
  <c r="AH83" i="6" s="1"/>
  <c r="AO26" i="6"/>
  <c r="AO105" i="6" s="1"/>
  <c r="I105" i="6" s="1"/>
  <c r="J105" i="6" s="1"/>
  <c r="K105" i="6" s="1"/>
  <c r="AG26" i="6"/>
  <c r="AG105" i="6" s="1"/>
  <c r="AO24" i="6"/>
  <c r="I24" i="6" s="1"/>
  <c r="J24" i="6" s="1"/>
  <c r="K24" i="6" s="1"/>
  <c r="AG24" i="6"/>
  <c r="AG103" i="6" s="1"/>
  <c r="AO34" i="6"/>
  <c r="AK34" i="6"/>
  <c r="AG34" i="6"/>
  <c r="AO88" i="6"/>
  <c r="AK88" i="6"/>
  <c r="AK83" i="6" s="1"/>
  <c r="AG88" i="6"/>
  <c r="AG83" i="6" s="1"/>
  <c r="AF26" i="6"/>
  <c r="AF105" i="6" s="1"/>
  <c r="AN26" i="6"/>
  <c r="AN105" i="6" s="1"/>
  <c r="AJ26" i="6"/>
  <c r="AJ105" i="6" s="1"/>
  <c r="AF24" i="6"/>
  <c r="AF103" i="6" s="1"/>
  <c r="AN24" i="6"/>
  <c r="AN103" i="6" s="1"/>
  <c r="AJ24" i="6"/>
  <c r="AJ103" i="6" s="1"/>
  <c r="U63" i="3"/>
  <c r="U64" i="3" s="1"/>
  <c r="AF34" i="6"/>
  <c r="AN34" i="6"/>
  <c r="AJ34" i="6"/>
  <c r="AF88" i="6"/>
  <c r="AN88" i="6"/>
  <c r="AN83" i="6" s="1"/>
  <c r="AJ88" i="6"/>
  <c r="AJ83" i="6" s="1"/>
  <c r="AP26" i="6"/>
  <c r="AP105" i="6" s="1"/>
  <c r="AP24" i="6"/>
  <c r="AP103" i="6" s="1"/>
  <c r="AP34" i="6"/>
  <c r="AK26" i="6"/>
  <c r="AK105" i="6" s="1"/>
  <c r="AK24" i="6"/>
  <c r="AK103" i="6" s="1"/>
  <c r="AQ26" i="6"/>
  <c r="AQ105" i="6" s="1"/>
  <c r="AM26" i="6"/>
  <c r="AM105" i="6" s="1"/>
  <c r="AI26" i="6"/>
  <c r="AI105" i="6" s="1"/>
  <c r="AQ24" i="6"/>
  <c r="AQ103" i="6" s="1"/>
  <c r="AM24" i="6"/>
  <c r="AM103" i="6" s="1"/>
  <c r="AI24" i="6"/>
  <c r="AI103" i="6" s="1"/>
  <c r="AQ34" i="6"/>
  <c r="AM34" i="6"/>
  <c r="AI34" i="6"/>
  <c r="AQ88" i="6"/>
  <c r="AQ83" i="6" s="1"/>
  <c r="AM88" i="6"/>
  <c r="AM83" i="6" s="1"/>
  <c r="AI88" i="6"/>
  <c r="AI83" i="6" s="1"/>
  <c r="U25" i="3"/>
  <c r="U30" i="3"/>
  <c r="U29" i="3"/>
  <c r="U35" i="3"/>
  <c r="U36" i="3"/>
  <c r="U38" i="3"/>
  <c r="U39" i="3"/>
  <c r="U28" i="3"/>
  <c r="U31" i="3"/>
  <c r="AF75" i="6"/>
  <c r="BK75" i="6" s="1"/>
  <c r="BK74" i="6" s="1"/>
  <c r="J26" i="3"/>
  <c r="K26" i="3"/>
  <c r="L26" i="3"/>
  <c r="M26" i="3"/>
  <c r="N26" i="3"/>
  <c r="O26" i="3"/>
  <c r="P26" i="3"/>
  <c r="Q26" i="3"/>
  <c r="R26" i="3"/>
  <c r="S26" i="3"/>
  <c r="T26" i="3"/>
  <c r="AG39" i="6"/>
  <c r="AG38" i="6" s="1"/>
  <c r="AH39" i="6"/>
  <c r="AH38" i="6" s="1"/>
  <c r="AI39" i="6"/>
  <c r="AI38" i="6" s="1"/>
  <c r="AJ39" i="6"/>
  <c r="AJ38" i="6" s="1"/>
  <c r="AK39" i="6"/>
  <c r="AK38" i="6" s="1"/>
  <c r="AL39" i="6"/>
  <c r="AL38" i="6" s="1"/>
  <c r="AM39" i="6"/>
  <c r="AM38" i="6" s="1"/>
  <c r="AN39" i="6"/>
  <c r="AN38" i="6" s="1"/>
  <c r="AO39" i="6"/>
  <c r="AP39" i="6"/>
  <c r="AP38" i="6" s="1"/>
  <c r="AQ39" i="6"/>
  <c r="AQ38" i="6" s="1"/>
  <c r="AF39" i="6"/>
  <c r="I18" i="3"/>
  <c r="I26" i="3" s="1"/>
  <c r="I74" i="3" s="1"/>
  <c r="I76" i="3" s="1"/>
  <c r="M31" i="1"/>
  <c r="L31" i="1"/>
  <c r="K31" i="1"/>
  <c r="J31" i="1"/>
  <c r="I31" i="1"/>
  <c r="H31" i="1"/>
  <c r="G31" i="1"/>
  <c r="F31" i="1"/>
  <c r="E31" i="1"/>
  <c r="D31" i="1"/>
  <c r="C31" i="1"/>
  <c r="B31" i="1"/>
  <c r="N30" i="1"/>
  <c r="N29" i="1"/>
  <c r="M26" i="1"/>
  <c r="L26" i="1"/>
  <c r="K26" i="1"/>
  <c r="J26" i="1"/>
  <c r="I26" i="1"/>
  <c r="H26" i="1"/>
  <c r="G26" i="1"/>
  <c r="F26" i="1"/>
  <c r="E26" i="1"/>
  <c r="D26" i="1"/>
  <c r="C26" i="1"/>
  <c r="B26" i="1"/>
  <c r="N25" i="1"/>
  <c r="N24" i="1"/>
  <c r="M20" i="1"/>
  <c r="L20" i="1"/>
  <c r="K20" i="1"/>
  <c r="J20" i="1"/>
  <c r="I20" i="1"/>
  <c r="H20" i="1"/>
  <c r="G20" i="1"/>
  <c r="F20" i="1"/>
  <c r="E20" i="1"/>
  <c r="D20" i="1"/>
  <c r="C20" i="1"/>
  <c r="B20" i="1"/>
  <c r="N19" i="1"/>
  <c r="N18" i="1"/>
  <c r="N17" i="1"/>
  <c r="N16" i="1"/>
  <c r="N15" i="1"/>
  <c r="N14" i="1"/>
  <c r="N13" i="1"/>
  <c r="M11" i="1"/>
  <c r="L11" i="1"/>
  <c r="K11" i="1"/>
  <c r="J11" i="1"/>
  <c r="I11" i="1"/>
  <c r="H11" i="1"/>
  <c r="G11" i="1"/>
  <c r="F11" i="1"/>
  <c r="E11" i="1"/>
  <c r="D11" i="1"/>
  <c r="C11" i="1"/>
  <c r="B11" i="1"/>
  <c r="N10" i="1"/>
  <c r="N9" i="1"/>
  <c r="N8" i="1"/>
  <c r="N7" i="1"/>
  <c r="J21" i="1" l="1"/>
  <c r="E21" i="1"/>
  <c r="M21" i="1"/>
  <c r="C21" i="1"/>
  <c r="C33" i="1" s="1"/>
  <c r="K21" i="1"/>
  <c r="K33" i="1" s="1"/>
  <c r="J33" i="1"/>
  <c r="B21" i="1"/>
  <c r="B33" i="1" s="1"/>
  <c r="AO103" i="6"/>
  <c r="I103" i="6" s="1"/>
  <c r="J103" i="6" s="1"/>
  <c r="K103" i="6" s="1"/>
  <c r="I26" i="6"/>
  <c r="J26" i="6" s="1"/>
  <c r="K26" i="6" s="1"/>
  <c r="U32" i="3"/>
  <c r="AO21" i="6"/>
  <c r="AO20" i="6" s="1"/>
  <c r="R74" i="3"/>
  <c r="R76" i="3" s="1"/>
  <c r="AK21" i="6"/>
  <c r="AK100" i="6" s="1"/>
  <c r="N74" i="3"/>
  <c r="N76" i="3" s="1"/>
  <c r="AG21" i="6"/>
  <c r="AG100" i="6" s="1"/>
  <c r="J74" i="3"/>
  <c r="J76" i="3" s="1"/>
  <c r="AR24" i="6"/>
  <c r="AS24" i="6" s="1"/>
  <c r="AT24" i="6" s="1"/>
  <c r="BK24" i="6"/>
  <c r="BK103" i="6" s="1"/>
  <c r="AI104" i="6"/>
  <c r="AI29" i="6"/>
  <c r="AQ104" i="6"/>
  <c r="AQ29" i="6"/>
  <c r="BK88" i="6"/>
  <c r="BK83" i="6" s="1"/>
  <c r="AF83" i="6"/>
  <c r="AR88" i="6"/>
  <c r="AH104" i="6"/>
  <c r="AH29" i="6"/>
  <c r="AM104" i="6"/>
  <c r="AM29" i="6"/>
  <c r="AJ104" i="6"/>
  <c r="AJ29" i="6"/>
  <c r="AO104" i="6"/>
  <c r="I104" i="6" s="1"/>
  <c r="J104" i="6" s="1"/>
  <c r="K104" i="6" s="1"/>
  <c r="AO29" i="6"/>
  <c r="I34" i="6"/>
  <c r="J34" i="6" s="1"/>
  <c r="K34" i="6" s="1"/>
  <c r="AF21" i="6"/>
  <c r="AF100" i="6" s="1"/>
  <c r="AN21" i="6"/>
  <c r="AN100" i="6" s="1"/>
  <c r="Q74" i="3"/>
  <c r="Q76" i="3" s="1"/>
  <c r="AJ21" i="6"/>
  <c r="AJ20" i="6" s="1"/>
  <c r="M74" i="3"/>
  <c r="M76" i="3" s="1"/>
  <c r="BK26" i="6"/>
  <c r="BK105" i="6" s="1"/>
  <c r="AN104" i="6"/>
  <c r="AN29" i="6"/>
  <c r="AO83" i="6"/>
  <c r="I83" i="6" s="1"/>
  <c r="J83" i="6" s="1"/>
  <c r="K83" i="6" s="1"/>
  <c r="I88" i="6"/>
  <c r="J88" i="6" s="1"/>
  <c r="K88" i="6" s="1"/>
  <c r="AL104" i="6"/>
  <c r="AL29" i="6"/>
  <c r="AP21" i="6"/>
  <c r="AP100" i="6" s="1"/>
  <c r="S74" i="3"/>
  <c r="S76" i="3" s="1"/>
  <c r="AL21" i="6"/>
  <c r="AL100" i="6" s="1"/>
  <c r="O74" i="3"/>
  <c r="O76" i="3" s="1"/>
  <c r="AH21" i="6"/>
  <c r="AH20" i="6" s="1"/>
  <c r="AH93" i="6" s="1"/>
  <c r="K74" i="3"/>
  <c r="K76" i="3" s="1"/>
  <c r="AG29" i="6"/>
  <c r="AG104" i="6"/>
  <c r="AQ21" i="6"/>
  <c r="AQ100" i="6" s="1"/>
  <c r="T74" i="3"/>
  <c r="T76" i="3" s="1"/>
  <c r="AM21" i="6"/>
  <c r="AM20" i="6" s="1"/>
  <c r="AM93" i="6" s="1"/>
  <c r="P74" i="3"/>
  <c r="P76" i="3" s="1"/>
  <c r="AI21" i="6"/>
  <c r="AI20" i="6" s="1"/>
  <c r="L74" i="3"/>
  <c r="L76" i="3" s="1"/>
  <c r="AR26" i="6"/>
  <c r="AR105" i="6" s="1"/>
  <c r="AP104" i="6"/>
  <c r="AP29" i="6"/>
  <c r="AF104" i="6"/>
  <c r="BK34" i="6"/>
  <c r="AF29" i="6"/>
  <c r="AR34" i="6"/>
  <c r="AK104" i="6"/>
  <c r="AK29" i="6"/>
  <c r="BK39" i="6"/>
  <c r="BK38" i="6" s="1"/>
  <c r="AO38" i="6"/>
  <c r="I38" i="6" s="1"/>
  <c r="J38" i="6" s="1"/>
  <c r="K38" i="6" s="1"/>
  <c r="I39" i="6"/>
  <c r="J39" i="6" s="1"/>
  <c r="K39" i="6" s="1"/>
  <c r="AF74" i="6"/>
  <c r="AR74" i="6" s="1"/>
  <c r="AS74" i="6" s="1"/>
  <c r="AT74" i="6" s="1"/>
  <c r="AR75" i="6"/>
  <c r="AS75" i="6" s="1"/>
  <c r="AT75" i="6" s="1"/>
  <c r="AF38" i="6"/>
  <c r="AR38" i="6" s="1"/>
  <c r="AS38" i="6" s="1"/>
  <c r="AT38" i="6" s="1"/>
  <c r="AR39" i="6"/>
  <c r="AS39" i="6" s="1"/>
  <c r="AT39" i="6" s="1"/>
  <c r="F21" i="1"/>
  <c r="F33" i="1" s="1"/>
  <c r="G21" i="1"/>
  <c r="G33" i="1" s="1"/>
  <c r="I21" i="1"/>
  <c r="I33" i="1" s="1"/>
  <c r="U72" i="3"/>
  <c r="U20" i="3"/>
  <c r="U19" i="3"/>
  <c r="U18" i="3"/>
  <c r="U40" i="3"/>
  <c r="U41" i="3" s="1"/>
  <c r="D21" i="1"/>
  <c r="D33" i="1" s="1"/>
  <c r="H21" i="1"/>
  <c r="H33" i="1" s="1"/>
  <c r="L21" i="1"/>
  <c r="L33" i="1" s="1"/>
  <c r="N26" i="1"/>
  <c r="M33" i="1"/>
  <c r="E33" i="1"/>
  <c r="N11" i="1"/>
  <c r="N20" i="1"/>
  <c r="N31" i="1"/>
  <c r="AI93" i="6" l="1"/>
  <c r="AI96" i="6" s="1"/>
  <c r="AI97" i="6" s="1"/>
  <c r="AO93" i="6"/>
  <c r="AJ93" i="6"/>
  <c r="AJ96" i="6" s="1"/>
  <c r="AJ97" i="6" s="1"/>
  <c r="AP20" i="6"/>
  <c r="I21" i="6"/>
  <c r="J21" i="6" s="1"/>
  <c r="K21" i="6" s="1"/>
  <c r="AO100" i="6"/>
  <c r="I100" i="6" s="1"/>
  <c r="U26" i="3"/>
  <c r="AF20" i="6"/>
  <c r="AR83" i="6"/>
  <c r="AM96" i="6"/>
  <c r="AM97" i="6" s="1"/>
  <c r="AK20" i="6"/>
  <c r="AG20" i="6"/>
  <c r="AJ100" i="6"/>
  <c r="AH96" i="6"/>
  <c r="AH97" i="6" s="1"/>
  <c r="AH100" i="6"/>
  <c r="AL20" i="6"/>
  <c r="AI100" i="6"/>
  <c r="AM100" i="6"/>
  <c r="AQ20" i="6"/>
  <c r="AN20" i="6"/>
  <c r="AR103" i="6"/>
  <c r="AS26" i="6"/>
  <c r="AT26" i="6" s="1"/>
  <c r="AR21" i="6"/>
  <c r="AS21" i="6" s="1"/>
  <c r="AT21" i="6" s="1"/>
  <c r="BK21" i="6"/>
  <c r="BK100" i="6" s="1"/>
  <c r="AR29" i="6"/>
  <c r="AS29" i="6" s="1"/>
  <c r="AT29" i="6" s="1"/>
  <c r="U74" i="3"/>
  <c r="BK104" i="6"/>
  <c r="BK29" i="6"/>
  <c r="AS34" i="6"/>
  <c r="AT34" i="6" s="1"/>
  <c r="AR104" i="6"/>
  <c r="I20" i="6"/>
  <c r="J20" i="6" s="1"/>
  <c r="K20" i="6" s="1"/>
  <c r="I29" i="6"/>
  <c r="J29" i="6" s="1"/>
  <c r="K29" i="6" s="1"/>
  <c r="N21" i="1"/>
  <c r="N33" i="1" s="1"/>
  <c r="BH84" i="6"/>
  <c r="BI84" i="6" s="1"/>
  <c r="BH87" i="6"/>
  <c r="BI87" i="6" s="1"/>
  <c r="AE104" i="6"/>
  <c r="S83" i="6"/>
  <c r="AM108" i="6" l="1"/>
  <c r="AN93" i="6"/>
  <c r="AN96" i="6" s="1"/>
  <c r="AL93" i="6"/>
  <c r="AL96" i="6" s="1"/>
  <c r="AG93" i="6"/>
  <c r="AG96" i="6" s="1"/>
  <c r="AF93" i="6"/>
  <c r="AF96" i="6" s="1"/>
  <c r="AQ93" i="6"/>
  <c r="AQ96" i="6" s="1"/>
  <c r="AK93" i="6"/>
  <c r="AK96" i="6" s="1"/>
  <c r="AP93" i="6"/>
  <c r="AP96" i="6" s="1"/>
  <c r="AI108" i="6"/>
  <c r="AJ108" i="6"/>
  <c r="AH108" i="6"/>
  <c r="AR20" i="6"/>
  <c r="AS20" i="6" s="1"/>
  <c r="AT20" i="6" s="1"/>
  <c r="U76" i="3"/>
  <c r="BK20" i="6"/>
  <c r="BK93" i="6" s="1"/>
  <c r="BK96" i="6" s="1"/>
  <c r="BK97" i="6" s="1"/>
  <c r="AS104" i="6"/>
  <c r="AT104" i="6" s="1"/>
  <c r="AR100" i="6"/>
  <c r="BH88" i="6"/>
  <c r="BI88" i="6" s="1"/>
  <c r="J100" i="6"/>
  <c r="K100" i="6" s="1"/>
  <c r="AO96" i="6"/>
  <c r="I93" i="6"/>
  <c r="J93" i="6" s="1"/>
  <c r="K93" i="6" s="1"/>
  <c r="AS90" i="6"/>
  <c r="AT90" i="6" s="1"/>
  <c r="AE106" i="6"/>
  <c r="AS106" i="6" s="1"/>
  <c r="AT106" i="6" s="1"/>
  <c r="BH85" i="6"/>
  <c r="BI85" i="6" s="1"/>
  <c r="AE101" i="6"/>
  <c r="AS101" i="6" s="1"/>
  <c r="AT101" i="6" s="1"/>
  <c r="BH83" i="6"/>
  <c r="BI83" i="6" s="1"/>
  <c r="S93" i="6"/>
  <c r="AS89" i="6"/>
  <c r="AT89" i="6" s="1"/>
  <c r="AE105" i="6"/>
  <c r="AS105" i="6" s="1"/>
  <c r="AT105" i="6" s="1"/>
  <c r="AS87" i="6"/>
  <c r="AT87" i="6" s="1"/>
  <c r="AE103" i="6"/>
  <c r="AS103" i="6" s="1"/>
  <c r="AT103" i="6" s="1"/>
  <c r="AS84" i="6"/>
  <c r="AT84" i="6" s="1"/>
  <c r="AE100" i="6"/>
  <c r="BH91" i="6"/>
  <c r="BI91" i="6" s="1"/>
  <c r="AE107" i="6"/>
  <c r="AS107" i="6" s="1"/>
  <c r="AT107" i="6" s="1"/>
  <c r="AS86" i="6"/>
  <c r="AT86" i="6" s="1"/>
  <c r="AE102" i="6"/>
  <c r="AS102" i="6" s="1"/>
  <c r="AT102" i="6" s="1"/>
  <c r="BH90" i="6"/>
  <c r="BI90" i="6" s="1"/>
  <c r="BH89" i="6"/>
  <c r="BI89" i="6" s="1"/>
  <c r="AS88" i="6"/>
  <c r="AT88" i="6" s="1"/>
  <c r="AS85" i="6"/>
  <c r="AT85" i="6" s="1"/>
  <c r="AS91" i="6"/>
  <c r="AT91" i="6" s="1"/>
  <c r="BH86" i="6"/>
  <c r="BI86" i="6" s="1"/>
  <c r="AP97" i="6" l="1"/>
  <c r="AP108" i="6"/>
  <c r="AG97" i="6"/>
  <c r="AG108" i="6"/>
  <c r="AQ97" i="6"/>
  <c r="AQ108" i="6"/>
  <c r="AL97" i="6"/>
  <c r="AL108" i="6"/>
  <c r="AK97" i="6"/>
  <c r="AK108" i="6"/>
  <c r="AF97" i="6"/>
  <c r="AF108" i="6"/>
  <c r="AN97" i="6"/>
  <c r="AN108" i="6"/>
  <c r="AR93" i="6"/>
  <c r="AR96" i="6" s="1"/>
  <c r="AR108" i="6" s="1"/>
  <c r="AS100" i="6"/>
  <c r="AT100" i="6" s="1"/>
  <c r="BK108" i="6"/>
  <c r="AS83" i="6"/>
  <c r="AT83" i="6" s="1"/>
  <c r="AO97" i="6"/>
  <c r="I97" i="6" s="1"/>
  <c r="J97" i="6" s="1"/>
  <c r="K97" i="6" s="1"/>
  <c r="I96" i="6"/>
  <c r="AO108" i="6"/>
  <c r="S96" i="6"/>
  <c r="AR97" i="6" l="1"/>
  <c r="J96" i="6"/>
  <c r="K96" i="6" s="1"/>
  <c r="I108" i="6"/>
  <c r="J108" i="6" s="1"/>
  <c r="K108" i="6" s="1"/>
  <c r="BH93" i="6"/>
  <c r="BI93" i="6" s="1"/>
  <c r="AE96" i="6"/>
  <c r="AS93" i="6"/>
  <c r="AT93" i="6" s="1"/>
  <c r="S97" i="6"/>
  <c r="S108" i="6"/>
  <c r="AE97" i="6" l="1"/>
  <c r="AS97" i="6" s="1"/>
  <c r="AT97" i="6" s="1"/>
  <c r="AS96" i="6"/>
  <c r="AT9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author>
  </authors>
  <commentList>
    <comment ref="T53" authorId="0" shapeId="0" xr:uid="{E56B8501-68DD-459B-AD30-E4E2D186105E}">
      <text>
        <r>
          <rPr>
            <b/>
            <sz val="9"/>
            <color indexed="81"/>
            <rFont val="Tahoma"/>
            <family val="2"/>
          </rPr>
          <t>alison:</t>
        </r>
        <r>
          <rPr>
            <sz val="9"/>
            <color indexed="81"/>
            <rFont val="Tahoma"/>
            <family val="2"/>
          </rPr>
          <t xml:space="preserve">
Travel costs in case DevCon occurs late in 2021</t>
        </r>
      </text>
    </comment>
  </commentList>
</comments>
</file>

<file path=xl/sharedStrings.xml><?xml version="1.0" encoding="utf-8"?>
<sst xmlns="http://schemas.openxmlformats.org/spreadsheetml/2006/main" count="2145" uniqueCount="632">
  <si>
    <t>Budget</t>
  </si>
  <si>
    <t>Total</t>
  </si>
  <si>
    <t>ACCOUNT NAME</t>
  </si>
  <si>
    <t>Jan</t>
  </si>
  <si>
    <t>Feb</t>
  </si>
  <si>
    <t>Mar</t>
  </si>
  <si>
    <t>Apr</t>
  </si>
  <si>
    <t>May</t>
  </si>
  <si>
    <t>Jun</t>
  </si>
  <si>
    <t>July</t>
  </si>
  <si>
    <t>Aug</t>
  </si>
  <si>
    <t>Sep</t>
  </si>
  <si>
    <t>Oct</t>
  </si>
  <si>
    <t>Nov</t>
  </si>
  <si>
    <t>Dec</t>
  </si>
  <si>
    <t>Jan - Dec</t>
  </si>
  <si>
    <t>[Product 2]</t>
  </si>
  <si>
    <t>[Product 3]</t>
  </si>
  <si>
    <t>[Other 1]</t>
  </si>
  <si>
    <t/>
  </si>
  <si>
    <t>Cash Used in Investing</t>
  </si>
  <si>
    <t>[Capital Cost 1]</t>
  </si>
  <si>
    <t>[Capital Cost 2]</t>
  </si>
  <si>
    <t>Total Cash Used in Investing</t>
  </si>
  <si>
    <t>Cash Used/From Financing</t>
  </si>
  <si>
    <t>[Cash In/Out Financing 1]</t>
  </si>
  <si>
    <t>[Cash In/Out Financing 2]</t>
  </si>
  <si>
    <t>Total Cash Used/From Financing</t>
  </si>
  <si>
    <t>Total Increase/Decrease in Cash</t>
  </si>
  <si>
    <t>Compensation</t>
  </si>
  <si>
    <t>Travel</t>
  </si>
  <si>
    <t>Professional Services</t>
  </si>
  <si>
    <t>March</t>
  </si>
  <si>
    <t>April</t>
  </si>
  <si>
    <t>June</t>
  </si>
  <si>
    <t>August</t>
  </si>
  <si>
    <t>Staff Compensation</t>
  </si>
  <si>
    <t>Bob Summerwill, Executive Director</t>
  </si>
  <si>
    <t>Alison Alexis, Financial Controller and Business Services</t>
  </si>
  <si>
    <t xml:space="preserve">Yaz Khoury, Developer </t>
  </si>
  <si>
    <t>Tax Filing</t>
  </si>
  <si>
    <t>Phones</t>
  </si>
  <si>
    <t>Cloud &amp; Subscription Services</t>
  </si>
  <si>
    <t>Accounting Software</t>
  </si>
  <si>
    <t>Expensify Software</t>
  </si>
  <si>
    <t>Bank Service Charges</t>
  </si>
  <si>
    <t>Other</t>
  </si>
  <si>
    <t>Conference Attendance</t>
  </si>
  <si>
    <t>Legal</t>
  </si>
  <si>
    <t xml:space="preserve">Other </t>
  </si>
  <si>
    <t>CATEGORY</t>
  </si>
  <si>
    <t>F2020</t>
  </si>
  <si>
    <t>Protocol</t>
  </si>
  <si>
    <t>Sponsorship</t>
  </si>
  <si>
    <t>Website, presentations, logos, etc</t>
  </si>
  <si>
    <t>ETC Summit</t>
  </si>
  <si>
    <t>Ecosystem &amp; Technical</t>
  </si>
  <si>
    <t>General &amp; Admin</t>
  </si>
  <si>
    <t>Marketing, Travel &amp; Other</t>
  </si>
  <si>
    <t>New Hires</t>
  </si>
  <si>
    <t>Conference Center</t>
  </si>
  <si>
    <t>Conference Materials/Swag</t>
  </si>
  <si>
    <t>Travel, Food &amp; Entertainment</t>
  </si>
  <si>
    <t>Grand Total</t>
  </si>
  <si>
    <t>Income Scenarios</t>
  </si>
  <si>
    <t>Base</t>
  </si>
  <si>
    <t>Grayscale ETC</t>
  </si>
  <si>
    <t>Base 1</t>
  </si>
  <si>
    <t>Base 2</t>
  </si>
  <si>
    <t>Base 3</t>
  </si>
  <si>
    <t>Worst</t>
  </si>
  <si>
    <t>Worst 1</t>
  </si>
  <si>
    <t>Worst 2</t>
  </si>
  <si>
    <t>Worst 3</t>
  </si>
  <si>
    <t>Best 1</t>
  </si>
  <si>
    <t>Best 2</t>
  </si>
  <si>
    <t>Best 3</t>
  </si>
  <si>
    <t xml:space="preserve">Worst </t>
  </si>
  <si>
    <t>Best</t>
  </si>
  <si>
    <t>Starting Point</t>
  </si>
  <si>
    <t>As of -----------</t>
  </si>
  <si>
    <t>ETC Price</t>
  </si>
  <si>
    <t>Sept</t>
  </si>
  <si>
    <t>Month</t>
  </si>
  <si>
    <t>Variance</t>
  </si>
  <si>
    <t>Prior Period</t>
  </si>
  <si>
    <t>YTD</t>
  </si>
  <si>
    <t>Financial consolidated:</t>
  </si>
  <si>
    <t>Revenue</t>
  </si>
  <si>
    <t>Net Income</t>
  </si>
  <si>
    <t>Color Code</t>
  </si>
  <si>
    <t>Within +/- 5%</t>
  </si>
  <si>
    <t>Over 5% variance (positive)</t>
  </si>
  <si>
    <t>Over 5% variance (negative)</t>
  </si>
  <si>
    <t>Variance not calculated</t>
  </si>
  <si>
    <t>Executive Summary - $USD</t>
  </si>
  <si>
    <t>2020 Actual</t>
  </si>
  <si>
    <t>Actual to Budget ($)</t>
  </si>
  <si>
    <t>Actual to Budget (%)</t>
  </si>
  <si>
    <t>Note Ref #</t>
  </si>
  <si>
    <t>Variance Analysis (Actual Month vs Budget Month)</t>
  </si>
  <si>
    <t>Grayscale Fees</t>
  </si>
  <si>
    <t>Other Contributions</t>
  </si>
  <si>
    <t>Expenditures</t>
  </si>
  <si>
    <t>Price</t>
  </si>
  <si>
    <t>Probability</t>
  </si>
  <si>
    <t xml:space="preserve">Base Prices for each </t>
  </si>
  <si>
    <t>These prices can be flexed for different scenarios, but should be used as the base level</t>
  </si>
  <si>
    <t>Per Month</t>
  </si>
  <si>
    <t>Monthly Income (before flexing)</t>
  </si>
  <si>
    <t>Prob Weighted</t>
  </si>
  <si>
    <t>Percentage</t>
  </si>
  <si>
    <t>Total Revenue</t>
  </si>
  <si>
    <t>Total Expenses</t>
  </si>
  <si>
    <t>Revenues</t>
  </si>
  <si>
    <t>Donations</t>
  </si>
  <si>
    <t xml:space="preserve">Other   </t>
  </si>
  <si>
    <t>Dues</t>
  </si>
  <si>
    <t>Sponsorships</t>
  </si>
  <si>
    <t>2017 Actuals</t>
  </si>
  <si>
    <t>2018 Actuals</t>
  </si>
  <si>
    <t>2019 Actuals</t>
  </si>
  <si>
    <t>2020 Bare Bones</t>
  </si>
  <si>
    <t>2020 Bronze</t>
  </si>
  <si>
    <t>2020 Silver</t>
  </si>
  <si>
    <t>2020 Gold</t>
  </si>
  <si>
    <r>
      <t>Director -</t>
    </r>
    <r>
      <rPr>
        <b/>
        <sz val="12"/>
        <color theme="1"/>
        <rFont val="Open Sans"/>
        <family val="2"/>
        <scheme val="minor"/>
      </rPr>
      <t xml:space="preserve"> $110K</t>
    </r>
  </si>
  <si>
    <r>
      <t xml:space="preserve">Executive Director - </t>
    </r>
    <r>
      <rPr>
        <b/>
        <sz val="12"/>
        <color theme="1"/>
        <rFont val="Open Sans"/>
        <family val="2"/>
        <scheme val="minor"/>
      </rPr>
      <t xml:space="preserve">$175K
</t>
    </r>
    <r>
      <rPr>
        <sz val="11"/>
        <color theme="1"/>
        <rFont val="Open Sans"/>
        <family val="2"/>
        <scheme val="minor"/>
      </rPr>
      <t xml:space="preserve">Director - </t>
    </r>
    <r>
      <rPr>
        <b/>
        <sz val="12"/>
        <color theme="1"/>
        <rFont val="Open Sans"/>
        <family val="2"/>
        <scheme val="minor"/>
      </rPr>
      <t>$28K</t>
    </r>
  </si>
  <si>
    <r>
      <t xml:space="preserve">Executive Director - </t>
    </r>
    <r>
      <rPr>
        <b/>
        <sz val="12"/>
        <color theme="1"/>
        <rFont val="Open Sans"/>
        <family val="2"/>
        <scheme val="minor"/>
      </rPr>
      <t>$200K</t>
    </r>
  </si>
  <si>
    <r>
      <t xml:space="preserve">ETC Summit - </t>
    </r>
    <r>
      <rPr>
        <b/>
        <sz val="12"/>
        <color theme="1"/>
        <rFont val="Open Sans"/>
        <family val="2"/>
        <scheme val="minor"/>
      </rPr>
      <t xml:space="preserve">$130K
</t>
    </r>
  </si>
  <si>
    <r>
      <t xml:space="preserve">ETC Summit - </t>
    </r>
    <r>
      <rPr>
        <b/>
        <sz val="12"/>
        <color theme="1"/>
        <rFont val="Open Sans"/>
        <family val="2"/>
        <scheme val="minor"/>
      </rPr>
      <t xml:space="preserve">$180K
</t>
    </r>
    <r>
      <rPr>
        <sz val="11"/>
        <color theme="1"/>
        <rFont val="Open Sans"/>
        <family val="2"/>
        <scheme val="minor"/>
      </rPr>
      <t xml:space="preserve">Marketing - </t>
    </r>
    <r>
      <rPr>
        <b/>
        <sz val="12"/>
        <color theme="1"/>
        <rFont val="Open Sans"/>
        <family val="2"/>
        <scheme val="minor"/>
      </rPr>
      <t>$170K</t>
    </r>
    <r>
      <rPr>
        <sz val="11"/>
        <color theme="1"/>
        <rFont val="Open Sans"/>
        <family val="2"/>
        <scheme val="minor"/>
      </rPr>
      <t xml:space="preserve">
WordPress sites - </t>
    </r>
    <r>
      <rPr>
        <b/>
        <sz val="12"/>
        <color theme="1"/>
        <rFont val="Open Sans"/>
        <family val="2"/>
        <scheme val="minor"/>
      </rPr>
      <t>$28K</t>
    </r>
    <r>
      <rPr>
        <sz val="11"/>
        <color theme="1"/>
        <rFont val="Open Sans"/>
        <family val="2"/>
        <scheme val="minor"/>
      </rPr>
      <t xml:space="preserve">
Technical guides -</t>
    </r>
    <r>
      <rPr>
        <b/>
        <sz val="12"/>
        <color theme="1"/>
        <rFont val="Open Sans"/>
        <family val="2"/>
        <scheme val="minor"/>
      </rPr>
      <t xml:space="preserve"> $7K</t>
    </r>
    <r>
      <rPr>
        <sz val="11"/>
        <color theme="1"/>
        <rFont val="Open Sans"/>
        <family val="2"/>
        <scheme val="minor"/>
      </rPr>
      <t xml:space="preserve">
Social Media - </t>
    </r>
    <r>
      <rPr>
        <b/>
        <sz val="12"/>
        <color theme="1"/>
        <rFont val="Open Sans"/>
        <family val="2"/>
        <scheme val="minor"/>
      </rPr>
      <t>$0</t>
    </r>
    <r>
      <rPr>
        <sz val="11"/>
        <color theme="1"/>
        <rFont val="Open Sans"/>
        <family val="2"/>
        <scheme val="minor"/>
      </rPr>
      <t xml:space="preserve">
Blog posts - </t>
    </r>
    <r>
      <rPr>
        <b/>
        <sz val="12"/>
        <color theme="1"/>
        <rFont val="Open Sans"/>
        <family val="2"/>
        <scheme val="minor"/>
      </rPr>
      <t>$0</t>
    </r>
  </si>
  <si>
    <r>
      <t xml:space="preserve">ETC Summit - </t>
    </r>
    <r>
      <rPr>
        <b/>
        <sz val="12"/>
        <color theme="1"/>
        <rFont val="Open Sans"/>
        <family val="2"/>
        <scheme val="minor"/>
      </rPr>
      <t xml:space="preserve">$160K
</t>
    </r>
    <r>
      <rPr>
        <sz val="11"/>
        <color theme="1"/>
        <rFont val="Open Sans"/>
        <family val="2"/>
        <scheme val="minor"/>
      </rPr>
      <t>Other conferences -</t>
    </r>
    <r>
      <rPr>
        <b/>
        <sz val="12"/>
        <color theme="1"/>
        <rFont val="Open Sans"/>
        <family val="2"/>
        <scheme val="minor"/>
      </rPr>
      <t xml:space="preserve"> $30K?</t>
    </r>
    <r>
      <rPr>
        <sz val="11"/>
        <color theme="1"/>
        <rFont val="Open Sans"/>
        <family val="2"/>
        <scheme val="minor"/>
      </rPr>
      <t xml:space="preserve">
Ad campaigns</t>
    </r>
    <r>
      <rPr>
        <b/>
        <sz val="12"/>
        <color theme="1"/>
        <rFont val="Open Sans"/>
        <family val="2"/>
        <scheme val="minor"/>
      </rPr>
      <t xml:space="preserve"> - $13K</t>
    </r>
    <r>
      <rPr>
        <sz val="11"/>
        <color theme="1"/>
        <rFont val="Open Sans"/>
        <family val="2"/>
        <scheme val="minor"/>
      </rPr>
      <t xml:space="preserve">
WordPress sites </t>
    </r>
    <r>
      <rPr>
        <b/>
        <sz val="12"/>
        <color theme="1"/>
        <rFont val="Open Sans"/>
        <family val="2"/>
        <scheme val="minor"/>
      </rPr>
      <t>- $14K</t>
    </r>
  </si>
  <si>
    <r>
      <t xml:space="preserve">Websites - </t>
    </r>
    <r>
      <rPr>
        <b/>
        <sz val="12"/>
        <color theme="1"/>
        <rFont val="Open Sans"/>
        <family val="2"/>
        <scheme val="minor"/>
      </rPr>
      <t>$0</t>
    </r>
    <r>
      <rPr>
        <sz val="11"/>
        <color theme="1"/>
        <rFont val="Open Sans"/>
        <family val="2"/>
        <scheme val="minor"/>
      </rPr>
      <t xml:space="preserve">
No conferences - </t>
    </r>
    <r>
      <rPr>
        <b/>
        <sz val="12"/>
        <color theme="1"/>
        <rFont val="Open Sans"/>
        <family val="2"/>
        <scheme val="minor"/>
      </rPr>
      <t>$0</t>
    </r>
  </si>
  <si>
    <r>
      <t>ETHDenver -</t>
    </r>
    <r>
      <rPr>
        <b/>
        <sz val="12"/>
        <color theme="1"/>
        <rFont val="Open Sans"/>
        <family val="2"/>
        <scheme val="minor"/>
      </rPr>
      <t xml:space="preserve"> $10K
</t>
    </r>
    <r>
      <rPr>
        <sz val="11"/>
        <color theme="1"/>
        <rFont val="Open Sans"/>
        <family val="2"/>
        <scheme val="minor"/>
      </rPr>
      <t xml:space="preserve">EthCC[3] </t>
    </r>
    <r>
      <rPr>
        <b/>
        <sz val="12"/>
        <color theme="1"/>
        <rFont val="Open Sans"/>
        <family val="2"/>
        <scheme val="minor"/>
      </rPr>
      <t>- $10K</t>
    </r>
    <r>
      <rPr>
        <sz val="11"/>
        <color theme="1"/>
        <rFont val="Open Sans"/>
        <family val="2"/>
        <scheme val="minor"/>
      </rPr>
      <t xml:space="preserve">
EDCON - </t>
    </r>
    <r>
      <rPr>
        <b/>
        <sz val="12"/>
        <color theme="1"/>
        <rFont val="Open Sans"/>
        <family val="2"/>
        <scheme val="minor"/>
      </rPr>
      <t xml:space="preserve">$5K
</t>
    </r>
    <r>
      <rPr>
        <sz val="11"/>
        <color theme="1"/>
        <rFont val="Open Sans"/>
        <family val="2"/>
        <scheme val="minor"/>
      </rPr>
      <t>Consensus -</t>
    </r>
    <r>
      <rPr>
        <b/>
        <sz val="12"/>
        <color theme="1"/>
        <rFont val="Open Sans"/>
        <family val="2"/>
        <scheme val="minor"/>
      </rPr>
      <t xml:space="preserve"> $5K</t>
    </r>
  </si>
  <si>
    <r>
      <t>ETHDenver -</t>
    </r>
    <r>
      <rPr>
        <b/>
        <sz val="12"/>
        <color theme="1"/>
        <rFont val="Open Sans"/>
        <family val="2"/>
        <scheme val="minor"/>
      </rPr>
      <t xml:space="preserve"> $10K</t>
    </r>
    <r>
      <rPr>
        <sz val="11"/>
        <color theme="1"/>
        <rFont val="Open Sans"/>
        <family val="2"/>
        <scheme val="minor"/>
      </rPr>
      <t xml:space="preserve">
EthCC[3] - </t>
    </r>
    <r>
      <rPr>
        <b/>
        <sz val="12"/>
        <color theme="1"/>
        <rFont val="Open Sans"/>
        <family val="2"/>
        <scheme val="minor"/>
      </rPr>
      <t>$10K</t>
    </r>
    <r>
      <rPr>
        <sz val="11"/>
        <color theme="1"/>
        <rFont val="Open Sans"/>
        <family val="2"/>
        <scheme val="minor"/>
      </rPr>
      <t xml:space="preserve">
EDCON - </t>
    </r>
    <r>
      <rPr>
        <b/>
        <sz val="12"/>
        <color theme="1"/>
        <rFont val="Open Sans"/>
        <family val="2"/>
        <scheme val="minor"/>
      </rPr>
      <t>$5K</t>
    </r>
    <r>
      <rPr>
        <sz val="11"/>
        <color theme="1"/>
        <rFont val="Open Sans"/>
        <family val="2"/>
        <scheme val="minor"/>
      </rPr>
      <t xml:space="preserve">
Consensus - </t>
    </r>
    <r>
      <rPr>
        <b/>
        <sz val="12"/>
        <color theme="1"/>
        <rFont val="Open Sans"/>
        <family val="2"/>
        <scheme val="minor"/>
      </rPr>
      <t>$5K</t>
    </r>
    <r>
      <rPr>
        <sz val="11"/>
        <color theme="1"/>
        <rFont val="Open Sans"/>
        <family val="2"/>
        <scheme val="minor"/>
      </rPr>
      <t xml:space="preserve">
Bitcoin 2020 - </t>
    </r>
    <r>
      <rPr>
        <b/>
        <sz val="12"/>
        <color theme="1"/>
        <rFont val="Open Sans"/>
        <family val="2"/>
        <scheme val="minor"/>
      </rPr>
      <t>$5K</t>
    </r>
    <r>
      <rPr>
        <sz val="11"/>
        <color theme="1"/>
        <rFont val="Open Sans"/>
        <family val="2"/>
        <scheme val="minor"/>
      </rPr>
      <t xml:space="preserve">
BRI Toronto - </t>
    </r>
    <r>
      <rPr>
        <b/>
        <sz val="12"/>
        <color theme="1"/>
        <rFont val="Open Sans"/>
        <family val="2"/>
        <scheme val="minor"/>
      </rPr>
      <t>$5K</t>
    </r>
    <r>
      <rPr>
        <sz val="11"/>
        <color theme="1"/>
        <rFont val="Open Sans"/>
        <family val="2"/>
        <scheme val="minor"/>
      </rPr>
      <t xml:space="preserve">
OSCON - </t>
    </r>
    <r>
      <rPr>
        <b/>
        <sz val="12"/>
        <color theme="1"/>
        <rFont val="Open Sans"/>
        <family val="2"/>
        <scheme val="minor"/>
      </rPr>
      <t>$5K</t>
    </r>
    <r>
      <rPr>
        <sz val="11"/>
        <color theme="1"/>
        <rFont val="Open Sans"/>
        <family val="2"/>
        <scheme val="minor"/>
      </rPr>
      <t xml:space="preserve">
DEVCON - </t>
    </r>
    <r>
      <rPr>
        <b/>
        <sz val="12"/>
        <color theme="1"/>
        <rFont val="Open Sans"/>
        <family val="2"/>
        <scheme val="minor"/>
      </rPr>
      <t>$10K</t>
    </r>
    <r>
      <rPr>
        <sz val="11"/>
        <color theme="1"/>
        <rFont val="Open Sans"/>
        <family val="2"/>
        <scheme val="minor"/>
      </rPr>
      <t xml:space="preserve">
ETHWaterloo -</t>
    </r>
    <r>
      <rPr>
        <b/>
        <sz val="12"/>
        <color theme="1"/>
        <rFont val="Open Sans"/>
        <family val="2"/>
        <scheme val="minor"/>
      </rPr>
      <t xml:space="preserve"> $5K</t>
    </r>
    <r>
      <rPr>
        <sz val="11"/>
        <color theme="1"/>
        <rFont val="Open Sans"/>
        <family val="2"/>
        <scheme val="minor"/>
      </rPr>
      <t xml:space="preserve">
</t>
    </r>
  </si>
  <si>
    <t>Development</t>
  </si>
  <si>
    <r>
      <t xml:space="preserve">Director of DevRel - </t>
    </r>
    <r>
      <rPr>
        <b/>
        <sz val="12"/>
        <color theme="1"/>
        <rFont val="Open Sans"/>
        <family val="2"/>
        <scheme val="minor"/>
      </rPr>
      <t>$23K</t>
    </r>
  </si>
  <si>
    <r>
      <t xml:space="preserve">Director of DevRel - </t>
    </r>
    <r>
      <rPr>
        <b/>
        <sz val="12"/>
        <color theme="1"/>
        <rFont val="Open Sans"/>
        <family val="2"/>
        <scheme val="minor"/>
      </rPr>
      <t>$110K</t>
    </r>
  </si>
  <si>
    <r>
      <t xml:space="preserve">Director of DevRel - </t>
    </r>
    <r>
      <rPr>
        <b/>
        <sz val="12"/>
        <color theme="1"/>
        <rFont val="Open Sans"/>
        <family val="2"/>
        <scheme val="minor"/>
      </rPr>
      <t>$120K</t>
    </r>
  </si>
  <si>
    <r>
      <t xml:space="preserve">Director of DevRel - </t>
    </r>
    <r>
      <rPr>
        <b/>
        <sz val="12"/>
        <color theme="1"/>
        <rFont val="Open Sans"/>
        <family val="2"/>
        <scheme val="minor"/>
      </rPr>
      <t>$120K</t>
    </r>
    <r>
      <rPr>
        <sz val="11"/>
        <color theme="1"/>
        <rFont val="Open Sans"/>
        <family val="2"/>
        <scheme val="minor"/>
      </rPr>
      <t xml:space="preserve">
Principal Engineer - </t>
    </r>
    <r>
      <rPr>
        <b/>
        <sz val="12"/>
        <color theme="1"/>
        <rFont val="Open Sans"/>
        <family val="2"/>
        <scheme val="minor"/>
      </rPr>
      <t>$200K</t>
    </r>
  </si>
  <si>
    <t>Infrastructure</t>
  </si>
  <si>
    <r>
      <t xml:space="preserve">Gorli/Kotti </t>
    </r>
    <r>
      <rPr>
        <b/>
        <sz val="12"/>
        <color theme="1"/>
        <rFont val="Open Sans"/>
        <family val="2"/>
        <scheme val="minor"/>
      </rPr>
      <t>- $63K</t>
    </r>
    <r>
      <rPr>
        <sz val="11"/>
        <color theme="1"/>
        <rFont val="Open Sans"/>
        <family val="2"/>
        <scheme val="minor"/>
      </rPr>
      <t xml:space="preserve">
Peacebridge</t>
    </r>
    <r>
      <rPr>
        <b/>
        <sz val="12"/>
        <color theme="1"/>
        <rFont val="Open Sans"/>
        <family val="2"/>
        <scheme val="minor"/>
      </rPr>
      <t xml:space="preserve"> - $43K</t>
    </r>
  </si>
  <si>
    <r>
      <t xml:space="preserve">Gorli/Kotti </t>
    </r>
    <r>
      <rPr>
        <b/>
        <sz val="12"/>
        <color theme="1"/>
        <rFont val="Open Sans"/>
        <family val="2"/>
        <scheme val="minor"/>
      </rPr>
      <t xml:space="preserve">- $63K
</t>
    </r>
    <r>
      <rPr>
        <sz val="11"/>
        <color theme="1"/>
        <rFont val="Open Sans"/>
        <family val="2"/>
        <scheme val="minor"/>
      </rPr>
      <t xml:space="preserve">Besu Agharta - </t>
    </r>
    <r>
      <rPr>
        <b/>
        <sz val="12"/>
        <color theme="1"/>
        <rFont val="Open Sans"/>
        <family val="2"/>
        <scheme val="minor"/>
      </rPr>
      <t xml:space="preserve">$25K
</t>
    </r>
    <r>
      <rPr>
        <sz val="11"/>
        <color theme="1"/>
        <rFont val="Open Sans"/>
        <family val="2"/>
        <scheme val="minor"/>
      </rPr>
      <t xml:space="preserve">Hosted services - </t>
    </r>
    <r>
      <rPr>
        <b/>
        <sz val="12"/>
        <color theme="1"/>
        <rFont val="Open Sans"/>
        <family val="2"/>
        <scheme val="minor"/>
      </rPr>
      <t xml:space="preserve">$10K
</t>
    </r>
    <r>
      <rPr>
        <sz val="11"/>
        <color theme="1"/>
        <rFont val="Open Sans"/>
        <family val="2"/>
        <scheme val="minor"/>
      </rPr>
      <t xml:space="preserve">ETCNodes - </t>
    </r>
    <r>
      <rPr>
        <b/>
        <sz val="12"/>
        <color theme="1"/>
        <rFont val="Open Sans"/>
        <family val="2"/>
        <scheme val="minor"/>
      </rPr>
      <t>$5K</t>
    </r>
  </si>
  <si>
    <r>
      <t xml:space="preserve">Besu Aztlan + Next </t>
    </r>
    <r>
      <rPr>
        <b/>
        <sz val="12"/>
        <color theme="1"/>
        <rFont val="Open Sans"/>
        <family val="2"/>
        <scheme val="minor"/>
      </rPr>
      <t>- $15K</t>
    </r>
    <r>
      <rPr>
        <sz val="11"/>
        <color theme="1"/>
        <rFont val="Open Sans"/>
        <family val="2"/>
        <scheme val="minor"/>
      </rPr>
      <t xml:space="preserve">
Hosted services - </t>
    </r>
    <r>
      <rPr>
        <b/>
        <sz val="12"/>
        <color theme="1"/>
        <rFont val="Open Sans"/>
        <family val="2"/>
        <scheme val="minor"/>
      </rPr>
      <t>$15K</t>
    </r>
    <r>
      <rPr>
        <sz val="11"/>
        <color theme="1"/>
        <rFont val="Open Sans"/>
        <family val="2"/>
        <scheme val="minor"/>
      </rPr>
      <t xml:space="preserve">
ETCNodes </t>
    </r>
    <r>
      <rPr>
        <b/>
        <sz val="12"/>
        <color theme="1"/>
        <rFont val="Open Sans"/>
        <family val="2"/>
        <scheme val="minor"/>
      </rPr>
      <t>- $7K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Connext state channels -</t>
    </r>
    <r>
      <rPr>
        <b/>
        <sz val="12"/>
        <color theme="1"/>
        <rFont val="Open Sans"/>
        <family val="2"/>
        <scheme val="minor"/>
      </rPr>
      <t xml:space="preserve"> $0</t>
    </r>
    <r>
      <rPr>
        <sz val="11"/>
        <color theme="1"/>
        <rFont val="Open Sans"/>
        <family val="2"/>
        <scheme val="minor"/>
      </rPr>
      <t xml:space="preserve">
Funfair state channels - </t>
    </r>
    <r>
      <rPr>
        <b/>
        <sz val="12"/>
        <color theme="1"/>
        <rFont val="Open Sans"/>
        <family val="2"/>
        <scheme val="minor"/>
      </rPr>
      <t>$0</t>
    </r>
  </si>
  <si>
    <r>
      <t xml:space="preserve">Besu Aztlan + Next </t>
    </r>
    <r>
      <rPr>
        <b/>
        <sz val="12"/>
        <color theme="1"/>
        <rFont val="Open Sans"/>
        <family val="2"/>
        <scheme val="minor"/>
      </rPr>
      <t>- $15K</t>
    </r>
    <r>
      <rPr>
        <sz val="11"/>
        <color theme="1"/>
        <rFont val="Open Sans"/>
        <family val="2"/>
        <scheme val="minor"/>
      </rPr>
      <t xml:space="preserve">
Hosted services - </t>
    </r>
    <r>
      <rPr>
        <b/>
        <sz val="12"/>
        <color theme="1"/>
        <rFont val="Open Sans"/>
        <family val="2"/>
        <scheme val="minor"/>
      </rPr>
      <t>$15K</t>
    </r>
    <r>
      <rPr>
        <sz val="11"/>
        <color theme="1"/>
        <rFont val="Open Sans"/>
        <family val="2"/>
        <scheme val="minor"/>
      </rPr>
      <t xml:space="preserve">
ETCNodes </t>
    </r>
    <r>
      <rPr>
        <b/>
        <sz val="12"/>
        <color theme="1"/>
        <rFont val="Open Sans"/>
        <family val="2"/>
        <scheme val="minor"/>
      </rPr>
      <t>- $7K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 xml:space="preserve">Connext state channels </t>
    </r>
    <r>
      <rPr>
        <b/>
        <sz val="12"/>
        <color theme="1"/>
        <rFont val="Open Sans"/>
        <family val="2"/>
        <scheme val="minor"/>
      </rPr>
      <t>- $0</t>
    </r>
    <r>
      <rPr>
        <sz val="11"/>
        <color theme="1"/>
        <rFont val="Open Sans"/>
        <family val="2"/>
        <scheme val="minor"/>
      </rPr>
      <t xml:space="preserve">
Funfair state channels </t>
    </r>
    <r>
      <rPr>
        <b/>
        <sz val="12"/>
        <color theme="1"/>
        <rFont val="Open Sans"/>
        <family val="2"/>
        <scheme val="minor"/>
      </rPr>
      <t xml:space="preserve">- $0
</t>
    </r>
    <r>
      <rPr>
        <sz val="11"/>
        <color theme="1"/>
        <rFont val="Open Sans"/>
        <family val="2"/>
        <scheme val="minor"/>
      </rPr>
      <t xml:space="preserve">BTC -&gt; ETC bridge </t>
    </r>
    <r>
      <rPr>
        <b/>
        <sz val="12"/>
        <color theme="1"/>
        <rFont val="Open Sans"/>
        <family val="2"/>
        <scheme val="minor"/>
      </rPr>
      <t xml:space="preserve">- $10K?
</t>
    </r>
    <r>
      <rPr>
        <sz val="11"/>
        <color theme="1"/>
        <rFont val="Open Sans"/>
        <family val="2"/>
        <scheme val="minor"/>
      </rPr>
      <t xml:space="preserve">RSK &lt;-&gt; ETC bridge </t>
    </r>
    <r>
      <rPr>
        <b/>
        <sz val="12"/>
        <color theme="1"/>
        <rFont val="Open Sans"/>
        <family val="2"/>
        <scheme val="minor"/>
      </rPr>
      <t xml:space="preserve">- $5K?
</t>
    </r>
    <r>
      <rPr>
        <sz val="11"/>
        <color theme="1"/>
        <rFont val="Open Sans"/>
        <family val="2"/>
        <scheme val="minor"/>
      </rPr>
      <t>ETH &lt;-&gt; ETC bridge</t>
    </r>
    <r>
      <rPr>
        <b/>
        <sz val="12"/>
        <color theme="1"/>
        <rFont val="Open Sans"/>
        <family val="2"/>
        <scheme val="minor"/>
      </rPr>
      <t xml:space="preserve"> - $10K?</t>
    </r>
  </si>
  <si>
    <r>
      <t xml:space="preserve">Besu Aztlan + Next </t>
    </r>
    <r>
      <rPr>
        <b/>
        <sz val="12"/>
        <color theme="1"/>
        <rFont val="Open Sans"/>
        <family val="2"/>
        <scheme val="minor"/>
      </rPr>
      <t>- $15K</t>
    </r>
    <r>
      <rPr>
        <sz val="11"/>
        <color theme="1"/>
        <rFont val="Open Sans"/>
        <family val="2"/>
        <scheme val="minor"/>
      </rPr>
      <t xml:space="preserve">
Hosted services -</t>
    </r>
    <r>
      <rPr>
        <b/>
        <sz val="12"/>
        <color theme="1"/>
        <rFont val="Open Sans"/>
        <family val="2"/>
        <scheme val="minor"/>
      </rPr>
      <t xml:space="preserve"> $15K</t>
    </r>
    <r>
      <rPr>
        <sz val="11"/>
        <color theme="1"/>
        <rFont val="Open Sans"/>
        <family val="2"/>
        <scheme val="minor"/>
      </rPr>
      <t xml:space="preserve">
ETCNodes - </t>
    </r>
    <r>
      <rPr>
        <b/>
        <sz val="12"/>
        <color theme="1"/>
        <rFont val="Open Sans"/>
        <family val="2"/>
        <scheme val="minor"/>
      </rPr>
      <t>$7K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Connext state channels -</t>
    </r>
    <r>
      <rPr>
        <b/>
        <sz val="12"/>
        <color theme="1"/>
        <rFont val="Open Sans"/>
        <family val="2"/>
        <scheme val="minor"/>
      </rPr>
      <t xml:space="preserve"> $0
</t>
    </r>
    <r>
      <rPr>
        <sz val="11"/>
        <color theme="1"/>
        <rFont val="Open Sans"/>
        <family val="2"/>
        <scheme val="minor"/>
      </rPr>
      <t>Funfair state channels -</t>
    </r>
    <r>
      <rPr>
        <b/>
        <sz val="12"/>
        <color theme="1"/>
        <rFont val="Open Sans"/>
        <family val="2"/>
        <scheme val="minor"/>
      </rPr>
      <t xml:space="preserve"> $0</t>
    </r>
    <r>
      <rPr>
        <sz val="11"/>
        <color theme="1"/>
        <rFont val="Open Sans"/>
        <family val="2"/>
        <scheme val="minor"/>
      </rPr>
      <t xml:space="preserve">
BTC -&gt; ETC bridge - </t>
    </r>
    <r>
      <rPr>
        <b/>
        <sz val="12"/>
        <color theme="1"/>
        <rFont val="Open Sans"/>
        <family val="2"/>
        <scheme val="minor"/>
      </rPr>
      <t>$10K?</t>
    </r>
    <r>
      <rPr>
        <sz val="11"/>
        <color theme="1"/>
        <rFont val="Open Sans"/>
        <family val="2"/>
        <scheme val="minor"/>
      </rPr>
      <t xml:space="preserve">
RSK &lt;-&gt; ETC bridge -</t>
    </r>
    <r>
      <rPr>
        <b/>
        <sz val="12"/>
        <color theme="1"/>
        <rFont val="Open Sans"/>
        <family val="2"/>
        <scheme val="minor"/>
      </rPr>
      <t xml:space="preserve"> $5K?</t>
    </r>
    <r>
      <rPr>
        <sz val="11"/>
        <color theme="1"/>
        <rFont val="Open Sans"/>
        <family val="2"/>
        <scheme val="minor"/>
      </rPr>
      <t xml:space="preserve">
ETH &lt;-&gt; ETC bridge - </t>
    </r>
    <r>
      <rPr>
        <b/>
        <sz val="12"/>
        <color theme="1"/>
        <rFont val="Open Sans"/>
        <family val="2"/>
        <scheme val="minor"/>
      </rPr>
      <t xml:space="preserve">$10K?
</t>
    </r>
    <r>
      <rPr>
        <sz val="11"/>
        <color theme="1"/>
        <rFont val="Open Sans"/>
        <family val="2"/>
        <scheme val="minor"/>
      </rPr>
      <t>Mantis -</t>
    </r>
    <r>
      <rPr>
        <b/>
        <sz val="12"/>
        <color theme="1"/>
        <rFont val="Open Sans"/>
        <family val="2"/>
        <scheme val="minor"/>
      </rPr>
      <t xml:space="preserve"> $50K</t>
    </r>
    <r>
      <rPr>
        <sz val="11"/>
        <color theme="1"/>
        <rFont val="Open Sans"/>
        <family val="2"/>
        <scheme val="minor"/>
      </rPr>
      <t xml:space="preserve">
</t>
    </r>
  </si>
  <si>
    <r>
      <t xml:space="preserve">Besu Aztlan + Next - </t>
    </r>
    <r>
      <rPr>
        <b/>
        <sz val="12"/>
        <color theme="1"/>
        <rFont val="Open Sans"/>
        <family val="2"/>
        <scheme val="minor"/>
      </rPr>
      <t>$15K</t>
    </r>
    <r>
      <rPr>
        <sz val="11"/>
        <color theme="1"/>
        <rFont val="Open Sans"/>
        <family val="2"/>
        <scheme val="minor"/>
      </rPr>
      <t xml:space="preserve">
Hosted services </t>
    </r>
    <r>
      <rPr>
        <b/>
        <sz val="12"/>
        <color theme="1"/>
        <rFont val="Open Sans"/>
        <family val="2"/>
        <scheme val="minor"/>
      </rPr>
      <t>- $15K</t>
    </r>
    <r>
      <rPr>
        <sz val="11"/>
        <color theme="1"/>
        <rFont val="Open Sans"/>
        <family val="2"/>
        <scheme val="minor"/>
      </rPr>
      <t xml:space="preserve">
ETCNodes - </t>
    </r>
    <r>
      <rPr>
        <b/>
        <sz val="12"/>
        <color theme="1"/>
        <rFont val="Open Sans"/>
        <family val="2"/>
        <scheme val="minor"/>
      </rPr>
      <t>$7K</t>
    </r>
    <r>
      <rPr>
        <sz val="11"/>
        <color theme="1"/>
        <rFont val="Open Sans"/>
        <family val="2"/>
        <scheme val="minor"/>
      </rPr>
      <t xml:space="preserve">
SOLL and LLVM/EVM - </t>
    </r>
    <r>
      <rPr>
        <b/>
        <sz val="12"/>
        <color theme="1"/>
        <rFont val="Open Sans"/>
        <family val="2"/>
        <scheme val="minor"/>
      </rPr>
      <t>$0K</t>
    </r>
    <r>
      <rPr>
        <sz val="11"/>
        <color theme="1"/>
        <rFont val="Open Sans"/>
        <family val="2"/>
        <scheme val="minor"/>
      </rPr>
      <t xml:space="preserve">
Connext state channels - </t>
    </r>
    <r>
      <rPr>
        <b/>
        <sz val="12"/>
        <color theme="1"/>
        <rFont val="Open Sans"/>
        <family val="2"/>
        <scheme val="minor"/>
      </rPr>
      <t>$0</t>
    </r>
    <r>
      <rPr>
        <sz val="11"/>
        <color theme="1"/>
        <rFont val="Open Sans"/>
        <family val="2"/>
        <scheme val="minor"/>
      </rPr>
      <t xml:space="preserve">
Funfair state channels - </t>
    </r>
    <r>
      <rPr>
        <b/>
        <sz val="12"/>
        <color theme="1"/>
        <rFont val="Open Sans"/>
        <family val="2"/>
        <scheme val="minor"/>
      </rPr>
      <t>$0</t>
    </r>
    <r>
      <rPr>
        <sz val="11"/>
        <color theme="1"/>
        <rFont val="Open Sans"/>
        <family val="2"/>
        <scheme val="minor"/>
      </rPr>
      <t xml:space="preserve">
BTC -&gt; ETC bridge - </t>
    </r>
    <r>
      <rPr>
        <b/>
        <sz val="12"/>
        <color theme="1"/>
        <rFont val="Open Sans"/>
        <family val="2"/>
        <scheme val="minor"/>
      </rPr>
      <t>$10K?</t>
    </r>
    <r>
      <rPr>
        <sz val="11"/>
        <color theme="1"/>
        <rFont val="Open Sans"/>
        <family val="2"/>
        <scheme val="minor"/>
      </rPr>
      <t xml:space="preserve">
RSK &lt;-&gt; ETC bridge - </t>
    </r>
    <r>
      <rPr>
        <b/>
        <sz val="12"/>
        <color theme="1"/>
        <rFont val="Open Sans"/>
        <family val="2"/>
        <scheme val="minor"/>
      </rPr>
      <t>$5K?</t>
    </r>
    <r>
      <rPr>
        <sz val="11"/>
        <color theme="1"/>
        <rFont val="Open Sans"/>
        <family val="2"/>
        <scheme val="minor"/>
      </rPr>
      <t xml:space="preserve">
ETH &lt;-&gt; ETC bridge - </t>
    </r>
    <r>
      <rPr>
        <b/>
        <sz val="12"/>
        <color theme="1"/>
        <rFont val="Open Sans"/>
        <family val="2"/>
        <scheme val="minor"/>
      </rPr>
      <t>$10K?</t>
    </r>
    <r>
      <rPr>
        <sz val="11"/>
        <color theme="1"/>
        <rFont val="Open Sans"/>
        <family val="2"/>
        <scheme val="minor"/>
      </rPr>
      <t xml:space="preserve">
Mantis -</t>
    </r>
    <r>
      <rPr>
        <b/>
        <sz val="12"/>
        <color theme="1"/>
        <rFont val="Open Sans"/>
        <family val="2"/>
        <scheme val="minor"/>
      </rPr>
      <t xml:space="preserve"> $50K</t>
    </r>
    <r>
      <rPr>
        <sz val="11"/>
        <color theme="1"/>
        <rFont val="Open Sans"/>
        <family val="2"/>
        <scheme val="minor"/>
      </rPr>
      <t xml:space="preserve">
Parity-Ethereum - </t>
    </r>
    <r>
      <rPr>
        <b/>
        <sz val="12"/>
        <color theme="1"/>
        <rFont val="Open Sans"/>
        <family val="2"/>
        <scheme val="minor"/>
      </rPr>
      <t>$50K</t>
    </r>
    <r>
      <rPr>
        <sz val="11"/>
        <color theme="1"/>
        <rFont val="Open Sans"/>
        <family val="2"/>
        <scheme val="minor"/>
      </rPr>
      <t xml:space="preserve">
Privacy L2 </t>
    </r>
    <r>
      <rPr>
        <b/>
        <sz val="12"/>
        <color theme="1"/>
        <rFont val="Open Sans"/>
        <family val="2"/>
        <scheme val="minor"/>
      </rPr>
      <t>- $20K?</t>
    </r>
    <r>
      <rPr>
        <sz val="11"/>
        <color theme="1"/>
        <rFont val="Open Sans"/>
        <family val="2"/>
        <scheme val="minor"/>
      </rPr>
      <t xml:space="preserve">
Rollups L2 </t>
    </r>
    <r>
      <rPr>
        <b/>
        <sz val="12"/>
        <color theme="1"/>
        <rFont val="Open Sans"/>
        <family val="2"/>
        <scheme val="minor"/>
      </rPr>
      <t>- $20K?</t>
    </r>
    <r>
      <rPr>
        <sz val="11"/>
        <color theme="1"/>
        <rFont val="Open Sans"/>
        <family val="2"/>
        <scheme val="minor"/>
      </rPr>
      <t xml:space="preserve">
Scaling L2 -</t>
    </r>
    <r>
      <rPr>
        <b/>
        <sz val="12"/>
        <color theme="1"/>
        <rFont val="Open Sans"/>
        <family val="2"/>
        <scheme val="minor"/>
      </rPr>
      <t xml:space="preserve"> $20K?</t>
    </r>
  </si>
  <si>
    <t>Protocol Stewardship</t>
  </si>
  <si>
    <r>
      <t>ECIP process -</t>
    </r>
    <r>
      <rPr>
        <b/>
        <sz val="12"/>
        <color theme="1"/>
        <rFont val="Open Sans"/>
        <family val="2"/>
        <scheme val="minor"/>
      </rPr>
      <t xml:space="preserve"> $0</t>
    </r>
  </si>
  <si>
    <r>
      <t xml:space="preserve">IP protection - </t>
    </r>
    <r>
      <rPr>
        <b/>
        <sz val="12"/>
        <color theme="1"/>
        <rFont val="Open Sans"/>
        <family val="2"/>
        <scheme val="minor"/>
      </rPr>
      <t xml:space="preserve">$0
</t>
    </r>
    <r>
      <rPr>
        <sz val="11"/>
        <color theme="1"/>
        <rFont val="Open Sans"/>
        <family val="2"/>
        <scheme val="minor"/>
      </rPr>
      <t>Gaslimit HF</t>
    </r>
    <r>
      <rPr>
        <b/>
        <sz val="12"/>
        <color theme="1"/>
        <rFont val="Open Sans"/>
        <family val="2"/>
        <scheme val="minor"/>
      </rPr>
      <t xml:space="preserve"> - $0</t>
    </r>
  </si>
  <si>
    <r>
      <t xml:space="preserve">Ethereum Magicians - </t>
    </r>
    <r>
      <rPr>
        <b/>
        <sz val="12"/>
        <color theme="1"/>
        <rFont val="Open Sans"/>
        <family val="2"/>
        <scheme val="minor"/>
      </rPr>
      <t xml:space="preserve">$0
</t>
    </r>
    <r>
      <rPr>
        <sz val="11"/>
        <color theme="1"/>
        <rFont val="Open Sans"/>
        <family val="2"/>
        <scheme val="minor"/>
      </rPr>
      <t>Keccak256 support -</t>
    </r>
    <r>
      <rPr>
        <b/>
        <sz val="12"/>
        <color theme="1"/>
        <rFont val="Open Sans"/>
        <family val="2"/>
        <scheme val="minor"/>
      </rPr>
      <t xml:space="preserve"> $0
</t>
    </r>
    <r>
      <rPr>
        <sz val="11"/>
        <color theme="1"/>
        <rFont val="Open Sans"/>
        <family val="2"/>
        <scheme val="minor"/>
      </rPr>
      <t>TurboGeth ETC -</t>
    </r>
    <r>
      <rPr>
        <b/>
        <sz val="12"/>
        <color theme="1"/>
        <rFont val="Open Sans"/>
        <family val="2"/>
        <scheme val="minor"/>
      </rPr>
      <t xml:space="preserve"> $0</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</si>
  <si>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
</t>
    </r>
    <r>
      <rPr>
        <sz val="11"/>
        <color theme="1"/>
        <rFont val="Open Sans"/>
        <family val="2"/>
        <scheme val="minor"/>
      </rPr>
      <t>Account versioning -</t>
    </r>
    <r>
      <rPr>
        <b/>
        <sz val="12"/>
        <color theme="1"/>
        <rFont val="Open Sans"/>
        <family val="2"/>
        <scheme val="minor"/>
      </rPr>
      <t xml:space="preserve"> $10K?
</t>
    </r>
    <r>
      <rPr>
        <sz val="11"/>
        <color theme="1"/>
        <rFont val="Open Sans"/>
        <family val="2"/>
        <scheme val="minor"/>
      </rPr>
      <t>Kunming -</t>
    </r>
    <r>
      <rPr>
        <b/>
        <sz val="12"/>
        <color theme="1"/>
        <rFont val="Open Sans"/>
        <family val="2"/>
        <scheme val="minor"/>
      </rPr>
      <t xml:space="preserve"> $20K?
</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</si>
  <si>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
</t>
    </r>
    <r>
      <rPr>
        <sz val="11"/>
        <color theme="1"/>
        <rFont val="Open Sans"/>
        <family val="2"/>
        <scheme val="minor"/>
      </rPr>
      <t xml:space="preserve">Account versioning - </t>
    </r>
    <r>
      <rPr>
        <b/>
        <sz val="12"/>
        <color theme="1"/>
        <rFont val="Open Sans"/>
        <family val="2"/>
        <scheme val="minor"/>
      </rPr>
      <t>$10K?</t>
    </r>
    <r>
      <rPr>
        <sz val="11"/>
        <color theme="1"/>
        <rFont val="Open Sans"/>
        <family val="2"/>
        <scheme val="minor"/>
      </rPr>
      <t xml:space="preserve">
Kunming - </t>
    </r>
    <r>
      <rPr>
        <b/>
        <sz val="12"/>
        <color theme="1"/>
        <rFont val="Open Sans"/>
        <family val="2"/>
        <scheme val="minor"/>
      </rPr>
      <t>$20K?</t>
    </r>
    <r>
      <rPr>
        <sz val="11"/>
        <color theme="1"/>
        <rFont val="Open Sans"/>
        <family val="2"/>
        <scheme val="minor"/>
      </rPr>
      <t xml:space="preserve">
Besu BESU-27 -</t>
    </r>
    <r>
      <rPr>
        <b/>
        <sz val="12"/>
        <color theme="1"/>
        <rFont val="Open Sans"/>
        <family val="2"/>
        <scheme val="minor"/>
      </rPr>
      <t xml:space="preserve"> $21K</t>
    </r>
    <r>
      <rPr>
        <sz val="11"/>
        <color theme="1"/>
        <rFont val="Open Sans"/>
        <family val="2"/>
        <scheme val="minor"/>
      </rPr>
      <t xml:space="preserve">
Besu BESU-31 - </t>
    </r>
    <r>
      <rPr>
        <b/>
        <sz val="12"/>
        <color theme="1"/>
        <rFont val="Open Sans"/>
        <family val="2"/>
        <scheme val="minor"/>
      </rPr>
      <t>$11K</t>
    </r>
    <r>
      <rPr>
        <sz val="11"/>
        <color theme="1"/>
        <rFont val="Open Sans"/>
        <family val="2"/>
        <scheme val="minor"/>
      </rPr>
      <t xml:space="preserve">
Besu BESU-63 - </t>
    </r>
    <r>
      <rPr>
        <b/>
        <sz val="12"/>
        <color theme="1"/>
        <rFont val="Open Sans"/>
        <family val="2"/>
        <scheme val="minor"/>
      </rPr>
      <t>$15K</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</si>
  <si>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t>
    </r>
    <r>
      <rPr>
        <sz val="11"/>
        <color theme="1"/>
        <rFont val="Open Sans"/>
        <family val="2"/>
        <scheme val="minor"/>
      </rPr>
      <t xml:space="preserve">
Account versioning - </t>
    </r>
    <r>
      <rPr>
        <b/>
        <sz val="12"/>
        <color theme="1"/>
        <rFont val="Open Sans"/>
        <family val="2"/>
        <scheme val="minor"/>
      </rPr>
      <t xml:space="preserve">$10K?
</t>
    </r>
    <r>
      <rPr>
        <sz val="11"/>
        <color theme="1"/>
        <rFont val="Open Sans"/>
        <family val="2"/>
        <scheme val="minor"/>
      </rPr>
      <t>Kunming -</t>
    </r>
    <r>
      <rPr>
        <b/>
        <sz val="12"/>
        <color theme="1"/>
        <rFont val="Open Sans"/>
        <family val="2"/>
        <scheme val="minor"/>
      </rPr>
      <t xml:space="preserve"> $20K?
</t>
    </r>
    <r>
      <rPr>
        <sz val="11"/>
        <color theme="1"/>
        <rFont val="Open Sans"/>
        <family val="2"/>
        <scheme val="minor"/>
      </rPr>
      <t xml:space="preserve">Besu BESU-27 - </t>
    </r>
    <r>
      <rPr>
        <b/>
        <sz val="12"/>
        <color theme="1"/>
        <rFont val="Open Sans"/>
        <family val="2"/>
        <scheme val="minor"/>
      </rPr>
      <t xml:space="preserve">$21K
</t>
    </r>
    <r>
      <rPr>
        <sz val="11"/>
        <color theme="1"/>
        <rFont val="Open Sans"/>
        <family val="2"/>
        <scheme val="minor"/>
      </rPr>
      <t>Besu BESU-31 -</t>
    </r>
    <r>
      <rPr>
        <b/>
        <sz val="12"/>
        <color theme="1"/>
        <rFont val="Open Sans"/>
        <family val="2"/>
        <scheme val="minor"/>
      </rPr>
      <t xml:space="preserve"> $11K
</t>
    </r>
    <r>
      <rPr>
        <sz val="11"/>
        <color theme="1"/>
        <rFont val="Open Sans"/>
        <family val="2"/>
        <scheme val="minor"/>
      </rPr>
      <t>Besu BESU-63 -</t>
    </r>
    <r>
      <rPr>
        <b/>
        <sz val="12"/>
        <color theme="1"/>
        <rFont val="Open Sans"/>
        <family val="2"/>
        <scheme val="minor"/>
      </rPr>
      <t xml:space="preserve"> $15K
</t>
    </r>
    <r>
      <rPr>
        <sz val="11"/>
        <color theme="1"/>
        <rFont val="Open Sans"/>
        <family val="2"/>
        <scheme val="minor"/>
      </rPr>
      <t>Gas pricing survey -</t>
    </r>
    <r>
      <rPr>
        <b/>
        <sz val="12"/>
        <color theme="1"/>
        <rFont val="Open Sans"/>
        <family val="2"/>
        <scheme val="minor"/>
      </rPr>
      <t xml:space="preserve"> $30K?</t>
    </r>
  </si>
  <si>
    <t>Partnerships</t>
  </si>
  <si>
    <r>
      <t>DCG/Grayscale</t>
    </r>
    <r>
      <rPr>
        <b/>
        <sz val="12"/>
        <color theme="1"/>
        <rFont val="Open Sans"/>
        <family val="2"/>
        <scheme val="minor"/>
      </rPr>
      <t xml:space="preserve"> - $0</t>
    </r>
  </si>
  <si>
    <r>
      <t>EF -</t>
    </r>
    <r>
      <rPr>
        <b/>
        <sz val="12"/>
        <color theme="1"/>
        <rFont val="Open Sans"/>
        <family val="2"/>
        <scheme val="minor"/>
      </rPr>
      <t xml:space="preserve"> $0</t>
    </r>
  </si>
  <si>
    <r>
      <t xml:space="preserve">EEA </t>
    </r>
    <r>
      <rPr>
        <b/>
        <sz val="12"/>
        <color theme="1"/>
        <rFont val="Open Sans"/>
        <family val="2"/>
        <scheme val="minor"/>
      </rPr>
      <t>- $0</t>
    </r>
    <r>
      <rPr>
        <sz val="11"/>
        <color theme="1"/>
        <rFont val="Open Sans"/>
        <family val="2"/>
        <scheme val="minor"/>
      </rPr>
      <t xml:space="preserve">
Hyperledger </t>
    </r>
    <r>
      <rPr>
        <b/>
        <sz val="12"/>
        <color theme="1"/>
        <rFont val="Open Sans"/>
        <family val="2"/>
        <scheme val="minor"/>
      </rPr>
      <t>- $0</t>
    </r>
    <r>
      <rPr>
        <sz val="11"/>
        <color theme="1"/>
        <rFont val="Open Sans"/>
        <family val="2"/>
        <scheme val="minor"/>
      </rPr>
      <t xml:space="preserve">
GDF</t>
    </r>
    <r>
      <rPr>
        <b/>
        <sz val="12"/>
        <color theme="1"/>
        <rFont val="Open Sans"/>
        <family val="2"/>
        <scheme val="minor"/>
      </rPr>
      <t xml:space="preserve"> - $0</t>
    </r>
  </si>
  <si>
    <r>
      <t xml:space="preserve">Truffle Teams </t>
    </r>
    <r>
      <rPr>
        <b/>
        <sz val="12"/>
        <color theme="1"/>
        <rFont val="Open Sans"/>
        <family val="2"/>
        <scheme val="minor"/>
      </rPr>
      <t>- $10K</t>
    </r>
  </si>
  <si>
    <r>
      <t>Truffle Teams</t>
    </r>
    <r>
      <rPr>
        <b/>
        <sz val="12"/>
        <color theme="1"/>
        <rFont val="Open Sans"/>
        <family val="2"/>
        <scheme val="minor"/>
      </rPr>
      <t xml:space="preserve"> - $10K</t>
    </r>
  </si>
  <si>
    <r>
      <t xml:space="preserve">Financial Controller </t>
    </r>
    <r>
      <rPr>
        <b/>
        <sz val="12"/>
        <color theme="1"/>
        <rFont val="Open Sans"/>
        <family val="2"/>
        <scheme val="minor"/>
      </rPr>
      <t>- $10K</t>
    </r>
  </si>
  <si>
    <t>Transparency</t>
  </si>
  <si>
    <r>
      <t xml:space="preserve">Transparency reports </t>
    </r>
    <r>
      <rPr>
        <b/>
        <sz val="12"/>
        <color theme="1"/>
        <rFont val="Open Sans"/>
        <family val="2"/>
        <scheme val="minor"/>
      </rPr>
      <t>- $0</t>
    </r>
  </si>
  <si>
    <r>
      <t xml:space="preserve">Messari - </t>
    </r>
    <r>
      <rPr>
        <b/>
        <sz val="12"/>
        <color theme="1"/>
        <rFont val="Open Sans"/>
        <family val="2"/>
        <scheme val="minor"/>
      </rPr>
      <t>$10K</t>
    </r>
  </si>
  <si>
    <t>Total spend</t>
  </si>
  <si>
    <t>$634K</t>
  </si>
  <si>
    <t>$646K</t>
  </si>
  <si>
    <t>$1.4M</t>
  </si>
  <si>
    <r>
      <t>ETHDenver -</t>
    </r>
    <r>
      <rPr>
        <b/>
        <sz val="12"/>
        <color theme="1"/>
        <rFont val="Open Sans"/>
        <family val="2"/>
        <scheme val="minor"/>
      </rPr>
      <t xml:space="preserve"> $10K</t>
    </r>
    <r>
      <rPr>
        <sz val="11"/>
        <color theme="1"/>
        <rFont val="Open Sans"/>
        <family val="2"/>
        <scheme val="minor"/>
      </rPr>
      <t xml:space="preserve">
EthCC[3] -</t>
    </r>
    <r>
      <rPr>
        <b/>
        <sz val="12"/>
        <color theme="1"/>
        <rFont val="Open Sans"/>
        <family val="2"/>
        <scheme val="minor"/>
      </rPr>
      <t xml:space="preserve"> $10K</t>
    </r>
    <r>
      <rPr>
        <sz val="11"/>
        <color theme="1"/>
        <rFont val="Open Sans"/>
        <family val="2"/>
        <scheme val="minor"/>
      </rPr>
      <t xml:space="preserve">
EDCON - </t>
    </r>
    <r>
      <rPr>
        <b/>
        <sz val="12"/>
        <color theme="1"/>
        <rFont val="Open Sans"/>
        <family val="2"/>
        <scheme val="minor"/>
      </rPr>
      <t>$5K</t>
    </r>
    <r>
      <rPr>
        <sz val="11"/>
        <color theme="1"/>
        <rFont val="Open Sans"/>
        <family val="2"/>
        <scheme val="minor"/>
      </rPr>
      <t xml:space="preserve">
Consensus - </t>
    </r>
    <r>
      <rPr>
        <b/>
        <sz val="12"/>
        <color theme="1"/>
        <rFont val="Open Sans"/>
        <family val="2"/>
        <scheme val="minor"/>
      </rPr>
      <t>$5K</t>
    </r>
    <r>
      <rPr>
        <sz val="11"/>
        <color theme="1"/>
        <rFont val="Open Sans"/>
        <family val="2"/>
        <scheme val="minor"/>
      </rPr>
      <t xml:space="preserve">
Bitcoin 2020 - </t>
    </r>
    <r>
      <rPr>
        <b/>
        <sz val="12"/>
        <color theme="1"/>
        <rFont val="Open Sans"/>
        <family val="2"/>
        <scheme val="minor"/>
      </rPr>
      <t>$5K</t>
    </r>
    <r>
      <rPr>
        <sz val="11"/>
        <color theme="1"/>
        <rFont val="Open Sans"/>
        <family val="2"/>
        <scheme val="minor"/>
      </rPr>
      <t xml:space="preserve">
BRI Toronto - </t>
    </r>
    <r>
      <rPr>
        <b/>
        <sz val="12"/>
        <color theme="1"/>
        <rFont val="Open Sans"/>
        <family val="2"/>
        <scheme val="minor"/>
      </rPr>
      <t>$5K</t>
    </r>
    <r>
      <rPr>
        <sz val="11"/>
        <color theme="1"/>
        <rFont val="Open Sans"/>
        <family val="2"/>
        <scheme val="minor"/>
      </rPr>
      <t xml:space="preserve">
OSCON - </t>
    </r>
    <r>
      <rPr>
        <b/>
        <sz val="12"/>
        <color theme="1"/>
        <rFont val="Open Sans"/>
        <family val="2"/>
        <scheme val="minor"/>
      </rPr>
      <t>$5K</t>
    </r>
    <r>
      <rPr>
        <sz val="11"/>
        <color theme="1"/>
        <rFont val="Open Sans"/>
        <family val="2"/>
        <scheme val="minor"/>
      </rPr>
      <t xml:space="preserve">
DEVCON - </t>
    </r>
    <r>
      <rPr>
        <b/>
        <sz val="12"/>
        <color theme="1"/>
        <rFont val="Open Sans"/>
        <family val="2"/>
        <scheme val="minor"/>
      </rPr>
      <t>$10K</t>
    </r>
    <r>
      <rPr>
        <sz val="11"/>
        <color theme="1"/>
        <rFont val="Open Sans"/>
        <family val="2"/>
        <scheme val="minor"/>
      </rPr>
      <t xml:space="preserve">
ETHWaterloo -</t>
    </r>
    <r>
      <rPr>
        <b/>
        <sz val="12"/>
        <color theme="1"/>
        <rFont val="Open Sans"/>
        <family val="2"/>
        <scheme val="minor"/>
      </rPr>
      <t xml:space="preserve"> $5K
</t>
    </r>
    <r>
      <rPr>
        <sz val="11"/>
        <color theme="1"/>
        <rFont val="Open Sans"/>
        <family val="2"/>
        <scheme val="minor"/>
      </rPr>
      <t>Hosting ETC Summit -</t>
    </r>
    <r>
      <rPr>
        <b/>
        <sz val="12"/>
        <color theme="1"/>
        <rFont val="Open Sans"/>
        <family val="2"/>
        <scheme val="minor"/>
      </rPr>
      <t xml:space="preserve"> $160K
</t>
    </r>
    <r>
      <rPr>
        <sz val="11"/>
        <color theme="1"/>
        <rFont val="Open Sans"/>
        <family val="2"/>
        <scheme val="minor"/>
      </rPr>
      <t>"Phoenix Day" ads -</t>
    </r>
    <r>
      <rPr>
        <b/>
        <sz val="12"/>
        <color theme="1"/>
        <rFont val="Open Sans"/>
        <family val="2"/>
        <scheme val="minor"/>
      </rPr>
      <t xml:space="preserve"> $50K </t>
    </r>
    <r>
      <rPr>
        <sz val="12"/>
        <color theme="1"/>
        <rFont val="Open Sans"/>
        <family val="2"/>
        <scheme val="minor"/>
      </rPr>
      <t>Comms Manager</t>
    </r>
    <r>
      <rPr>
        <b/>
        <sz val="12"/>
        <color theme="1"/>
        <rFont val="Open Sans"/>
        <family val="2"/>
        <scheme val="minor"/>
      </rPr>
      <t xml:space="preserve"> - $100K
</t>
    </r>
    <r>
      <rPr>
        <sz val="11"/>
        <color theme="1"/>
        <rFont val="Open Sans"/>
        <family val="2"/>
        <scheme val="minor"/>
      </rPr>
      <t xml:space="preserve">
</t>
    </r>
  </si>
  <si>
    <r>
      <t xml:space="preserve">Executive Director - </t>
    </r>
    <r>
      <rPr>
        <b/>
        <sz val="12"/>
        <color theme="1"/>
        <rFont val="Open Sans"/>
        <family val="2"/>
        <scheme val="minor"/>
      </rPr>
      <t xml:space="preserve">$200K
</t>
    </r>
    <r>
      <rPr>
        <sz val="11"/>
        <color theme="1"/>
        <rFont val="Open Sans"/>
        <family val="2"/>
        <scheme val="minor"/>
      </rPr>
      <t/>
    </r>
  </si>
  <si>
    <t>Executive</t>
  </si>
  <si>
    <t>Finance</t>
  </si>
  <si>
    <t>Comms and Marketing</t>
  </si>
  <si>
    <t>Internal Processes</t>
  </si>
  <si>
    <t>$440K</t>
  </si>
  <si>
    <r>
      <t xml:space="preserve">Monthly book-keeping, annual planning, monthly &amp; quarterly reporting, other projects, tax planning ($10K), software, Controller contract fees - </t>
    </r>
    <r>
      <rPr>
        <b/>
        <sz val="12"/>
        <color theme="1"/>
        <rFont val="Open Sans"/>
        <family val="2"/>
        <scheme val="minor"/>
      </rPr>
      <t>$65K</t>
    </r>
  </si>
  <si>
    <r>
      <t>Monthly book-keeping, annual planning, monthly &amp; quarterly reporting, other projects, tax planning ($10K), software, Controller contract fees -</t>
    </r>
    <r>
      <rPr>
        <b/>
        <sz val="12"/>
        <color theme="1"/>
        <rFont val="Open Sans"/>
        <family val="2"/>
        <scheme val="minor"/>
      </rPr>
      <t xml:space="preserve"> $65K</t>
    </r>
  </si>
  <si>
    <r>
      <t xml:space="preserve">Monthly book-keeping, monthly reporting, tax planning ($10K), software, Controller contract fees - </t>
    </r>
    <r>
      <rPr>
        <b/>
        <sz val="12"/>
        <color theme="1"/>
        <rFont val="Open Sans"/>
        <family val="2"/>
        <scheme val="minor"/>
      </rPr>
      <t>$50K</t>
    </r>
  </si>
  <si>
    <r>
      <t xml:space="preserve">Overhead - </t>
    </r>
    <r>
      <rPr>
        <b/>
        <sz val="12"/>
        <color theme="1"/>
        <rFont val="Open Sans"/>
        <family val="2"/>
        <scheme val="minor"/>
      </rPr>
      <t>$33K</t>
    </r>
  </si>
  <si>
    <t>$576K</t>
  </si>
  <si>
    <t>$928K</t>
  </si>
  <si>
    <r>
      <t xml:space="preserve">Overhead - </t>
    </r>
    <r>
      <rPr>
        <b/>
        <sz val="12"/>
        <color theme="1"/>
        <rFont val="Open Sans"/>
        <family val="2"/>
        <scheme val="minor"/>
      </rPr>
      <t>$35K</t>
    </r>
  </si>
  <si>
    <r>
      <t>Overhead</t>
    </r>
    <r>
      <rPr>
        <b/>
        <sz val="12"/>
        <color theme="1"/>
        <rFont val="Open Sans"/>
        <family val="2"/>
        <scheme val="minor"/>
      </rPr>
      <t xml:space="preserve"> - $50K</t>
    </r>
  </si>
  <si>
    <r>
      <t xml:space="preserve">Overhead - </t>
    </r>
    <r>
      <rPr>
        <b/>
        <sz val="12"/>
        <color theme="1"/>
        <rFont val="Open Sans"/>
        <family val="2"/>
        <scheme val="minor"/>
      </rPr>
      <t>$40K</t>
    </r>
  </si>
  <si>
    <r>
      <t>Overhead-</t>
    </r>
    <r>
      <rPr>
        <b/>
        <sz val="12"/>
        <color theme="1"/>
        <rFont val="Open Sans"/>
        <family val="2"/>
        <scheme val="minor"/>
      </rPr>
      <t>$3K</t>
    </r>
  </si>
  <si>
    <r>
      <t xml:space="preserve">Legal, Tax filings, other - </t>
    </r>
    <r>
      <rPr>
        <b/>
        <sz val="12"/>
        <color theme="1"/>
        <rFont val="Open Sans"/>
        <family val="2"/>
        <scheme val="minor"/>
      </rPr>
      <t>$21K</t>
    </r>
  </si>
  <si>
    <t>Trips</t>
  </si>
  <si>
    <t>ETH Denver</t>
  </si>
  <si>
    <t>Flights</t>
  </si>
  <si>
    <t>Hotel</t>
  </si>
  <si>
    <t>Food</t>
  </si>
  <si>
    <t>Transportation</t>
  </si>
  <si>
    <t>Days</t>
  </si>
  <si>
    <t>DevCon</t>
  </si>
  <si>
    <t>Denver</t>
  </si>
  <si>
    <t>January</t>
  </si>
  <si>
    <t>February</t>
  </si>
  <si>
    <t>September</t>
  </si>
  <si>
    <t>October</t>
  </si>
  <si>
    <t>November</t>
  </si>
  <si>
    <t>December</t>
  </si>
  <si>
    <t>Accounting Software (Xero &amp; Expensify)</t>
  </si>
  <si>
    <t>Host Services (nodes etc)</t>
  </si>
  <si>
    <t>Software subscriptions</t>
  </si>
  <si>
    <t>Tech/IT &amp; G&amp;A</t>
  </si>
  <si>
    <t>Overhead &amp; Management</t>
  </si>
  <si>
    <t>Comms &amp; Marketing</t>
  </si>
  <si>
    <t>Legal Units</t>
  </si>
  <si>
    <t>Company Name</t>
  </si>
  <si>
    <t>Unit Number</t>
  </si>
  <si>
    <t>Acroynm</t>
  </si>
  <si>
    <t>Ethereum Classic Cooperative Inc.</t>
  </si>
  <si>
    <t>01</t>
  </si>
  <si>
    <t>ETC</t>
  </si>
  <si>
    <t>Departments</t>
  </si>
  <si>
    <t>Name</t>
  </si>
  <si>
    <t>00</t>
  </si>
  <si>
    <t>02</t>
  </si>
  <si>
    <t>03</t>
  </si>
  <si>
    <t>04</t>
  </si>
  <si>
    <t>05</t>
  </si>
  <si>
    <t>06</t>
  </si>
  <si>
    <t>07</t>
  </si>
  <si>
    <t>08</t>
  </si>
  <si>
    <t>Account</t>
  </si>
  <si>
    <t>Expense Element Name</t>
  </si>
  <si>
    <t>Account Number</t>
  </si>
  <si>
    <t>Category</t>
  </si>
  <si>
    <t>Travel-Flights</t>
  </si>
  <si>
    <t>Travel-Hotels</t>
  </si>
  <si>
    <t>Meal &amp; Entertainment</t>
  </si>
  <si>
    <t>Travel-Other</t>
  </si>
  <si>
    <t>Contract Wages (Staff)</t>
  </si>
  <si>
    <t>Wages</t>
  </si>
  <si>
    <t>Salaries Expense</t>
  </si>
  <si>
    <t>Employee Benefits</t>
  </si>
  <si>
    <t>Other-Wage related</t>
  </si>
  <si>
    <t>Software</t>
  </si>
  <si>
    <t>Tech</t>
  </si>
  <si>
    <t>Paying for a license for something, subscriptions</t>
  </si>
  <si>
    <t>Hardware</t>
  </si>
  <si>
    <t>Hosted Services</t>
  </si>
  <si>
    <t>Ex. ETC Nodes, AWS, Digitial Ocean</t>
  </si>
  <si>
    <t>Office Expenses</t>
  </si>
  <si>
    <t>G&amp;A</t>
  </si>
  <si>
    <t>Membership &amp; Dues</t>
  </si>
  <si>
    <t>Shipping &amp; Postage</t>
  </si>
  <si>
    <t>Bank Charges</t>
  </si>
  <si>
    <t>Cell Phones</t>
  </si>
  <si>
    <t>G&amp;A - Other</t>
  </si>
  <si>
    <t>Conferences</t>
  </si>
  <si>
    <t>Marketing</t>
  </si>
  <si>
    <t>Advertising</t>
  </si>
  <si>
    <t>Swag</t>
  </si>
  <si>
    <t>Professional Service Providers</t>
  </si>
  <si>
    <t>Contractors</t>
  </si>
  <si>
    <t>Grants</t>
  </si>
  <si>
    <t>Depreciation</t>
  </si>
  <si>
    <t>Interest Expense</t>
  </si>
  <si>
    <t>Bank Revaluations</t>
  </si>
  <si>
    <t>Unrealized Currency Gains</t>
  </si>
  <si>
    <t>Realized Currency Gains</t>
  </si>
  <si>
    <t>Membership Fees</t>
  </si>
  <si>
    <t>Interest Income</t>
  </si>
  <si>
    <t>Department #</t>
  </si>
  <si>
    <t>Department Name</t>
  </si>
  <si>
    <t>Account #</t>
  </si>
  <si>
    <t>Account Name</t>
  </si>
  <si>
    <t>GL Account</t>
  </si>
  <si>
    <t>01-01-1000</t>
  </si>
  <si>
    <t>Overhead &amp; Management-Travel-Flights</t>
  </si>
  <si>
    <t>01-01-1001</t>
  </si>
  <si>
    <t>Overhead &amp; Management-Travel-Hotels</t>
  </si>
  <si>
    <t>01-01-1002</t>
  </si>
  <si>
    <t>Overhead &amp; Management-Meal &amp; Entertainment</t>
  </si>
  <si>
    <t>01-01-1003</t>
  </si>
  <si>
    <t>Overhead &amp; Management-Transportation</t>
  </si>
  <si>
    <t>01-01-1004</t>
  </si>
  <si>
    <t>Overhead &amp; Management-Travel-Other</t>
  </si>
  <si>
    <t>01-01-1100</t>
  </si>
  <si>
    <t>Overhead &amp; Management-Contract Wages (Staff)</t>
  </si>
  <si>
    <t>01-01-1200</t>
  </si>
  <si>
    <t>Overhead &amp; Management-Software</t>
  </si>
  <si>
    <t>01-01-1201</t>
  </si>
  <si>
    <t>Overhead &amp; Management-Hardware</t>
  </si>
  <si>
    <t>01-01-1202</t>
  </si>
  <si>
    <t>Overhead &amp; Management-Hosted Services</t>
  </si>
  <si>
    <t>01-01-1300</t>
  </si>
  <si>
    <t>Overhead &amp; Management-Office Expenses</t>
  </si>
  <si>
    <t>01-01-1301</t>
  </si>
  <si>
    <t>Overhead &amp; Management-Membership &amp; Dues</t>
  </si>
  <si>
    <t>01-01-1302</t>
  </si>
  <si>
    <t>Overhead &amp; Management-Shipping &amp; Postage</t>
  </si>
  <si>
    <t>01-01-1303</t>
  </si>
  <si>
    <t>Overhead &amp; Management-Bank Charges</t>
  </si>
  <si>
    <t>01-01-1304</t>
  </si>
  <si>
    <t>Overhead &amp; Management-Cell Phones</t>
  </si>
  <si>
    <t>01-01-1305</t>
  </si>
  <si>
    <t>Overhead &amp; Management-G&amp;A - Other</t>
  </si>
  <si>
    <t>01-01-1500</t>
  </si>
  <si>
    <t>Overhead &amp; Management-Professional Service Providers</t>
  </si>
  <si>
    <t>01-01-1601</t>
  </si>
  <si>
    <t>Overhead &amp; Management-Interest Expense</t>
  </si>
  <si>
    <t>01-01-1602</t>
  </si>
  <si>
    <t>Overhead &amp; Management-Bank Revaluations</t>
  </si>
  <si>
    <t>01-01-1603</t>
  </si>
  <si>
    <t>Overhead &amp; Management-Unrealized Currency Gains</t>
  </si>
  <si>
    <t>01-01-1604</t>
  </si>
  <si>
    <t>Overhead &amp; Management-Realized Currency Gains</t>
  </si>
  <si>
    <t>01-02-1000</t>
  </si>
  <si>
    <t>Comms &amp; Marketing-Travel-Flights</t>
  </si>
  <si>
    <t>01-02-1001</t>
  </si>
  <si>
    <t>Comms &amp; Marketing-Travel-Hotels</t>
  </si>
  <si>
    <t>01-02-1002</t>
  </si>
  <si>
    <t>Comms &amp; Marketing-Meal &amp; Entertainment</t>
  </si>
  <si>
    <t>01-02-1003</t>
  </si>
  <si>
    <t>Comms &amp; Marketing-Transportation</t>
  </si>
  <si>
    <t>01-02-1004</t>
  </si>
  <si>
    <t>Comms &amp; Marketing-Travel-Other</t>
  </si>
  <si>
    <t>01-02-1200</t>
  </si>
  <si>
    <t>Comms &amp; Marketing-Software</t>
  </si>
  <si>
    <t>01-02-1400</t>
  </si>
  <si>
    <t>Comms &amp; Marketing-Conferences</t>
  </si>
  <si>
    <t>01-02-1401</t>
  </si>
  <si>
    <t>Comms &amp; Marketing-Sponsorship</t>
  </si>
  <si>
    <t>01-02-1402</t>
  </si>
  <si>
    <t>Comms &amp; Marketing-Advertising</t>
  </si>
  <si>
    <t>01-02-1403</t>
  </si>
  <si>
    <t>Comms &amp; Marketing-Swag</t>
  </si>
  <si>
    <t>01-02-1500</t>
  </si>
  <si>
    <t>Comms &amp; Marketing-Professional Service Providers</t>
  </si>
  <si>
    <t>01-02-1501</t>
  </si>
  <si>
    <t>Comms &amp; Marketing-Contractors</t>
  </si>
  <si>
    <t>01-03-1100</t>
  </si>
  <si>
    <t>Development-Contract Wages (Staff)</t>
  </si>
  <si>
    <t>01-03-1202</t>
  </si>
  <si>
    <t>Development-Hosted Services</t>
  </si>
  <si>
    <t>01-03-1500</t>
  </si>
  <si>
    <t>Development-Professional Service Providers</t>
  </si>
  <si>
    <t>01-03-1501</t>
  </si>
  <si>
    <t>Development-Contractors</t>
  </si>
  <si>
    <t>01-03-1502</t>
  </si>
  <si>
    <t>Development-Grants</t>
  </si>
  <si>
    <t>01-04-1202</t>
  </si>
  <si>
    <t>Infrastructure-Hosted Services</t>
  </si>
  <si>
    <t>01-04-1500</t>
  </si>
  <si>
    <t>Infrastructure-Professional Service Providers</t>
  </si>
  <si>
    <t>01-04-1501</t>
  </si>
  <si>
    <t>Infrastructure-Contractors</t>
  </si>
  <si>
    <t>01-04-1502</t>
  </si>
  <si>
    <t>Infrastructure-Grants</t>
  </si>
  <si>
    <t>01-05-1202</t>
  </si>
  <si>
    <t>Protocol-Hosted Services</t>
  </si>
  <si>
    <t>01-05-1500</t>
  </si>
  <si>
    <t>Protocol-Professional Service Providers</t>
  </si>
  <si>
    <t>01-05-1501</t>
  </si>
  <si>
    <t>Protocol-Contractors</t>
  </si>
  <si>
    <t>01-05-1502</t>
  </si>
  <si>
    <t>Protocol-Grants</t>
  </si>
  <si>
    <t>01-06-1500</t>
  </si>
  <si>
    <t>Partnerships-Professional Service Providers</t>
  </si>
  <si>
    <t>01-06-1501</t>
  </si>
  <si>
    <t>Partnerships-Contractors</t>
  </si>
  <si>
    <t>01-06-1502</t>
  </si>
  <si>
    <t>Partnerships-Grants</t>
  </si>
  <si>
    <t>01-07-1100</t>
  </si>
  <si>
    <t>Finance-Contract Wages (Staff)</t>
  </si>
  <si>
    <t>01-07-1200</t>
  </si>
  <si>
    <t>Finance-Software</t>
  </si>
  <si>
    <t>01-07-1500</t>
  </si>
  <si>
    <t>Finance-Professional Service Providers</t>
  </si>
  <si>
    <t>01-07-1501</t>
  </si>
  <si>
    <t>Finance-Contractors</t>
  </si>
  <si>
    <t>01-08-1000</t>
  </si>
  <si>
    <t>ETC Summit-Travel-Flights</t>
  </si>
  <si>
    <t>01-08-1001</t>
  </si>
  <si>
    <t>ETC Summit-Travel-Hotels</t>
  </si>
  <si>
    <t>01-08-1002</t>
  </si>
  <si>
    <t>ETC Summit-Meal &amp; Entertainment</t>
  </si>
  <si>
    <t>01-08-1003</t>
  </si>
  <si>
    <t>ETC Summit-Transportation</t>
  </si>
  <si>
    <t>01-08-1004</t>
  </si>
  <si>
    <t>ETC Summit-Travel-Other</t>
  </si>
  <si>
    <t>01-08-1400</t>
  </si>
  <si>
    <t>ETC Summit-Conferences</t>
  </si>
  <si>
    <t>01-08-1401</t>
  </si>
  <si>
    <t>ETC Summit-Sponsorship</t>
  </si>
  <si>
    <t>01-08-1402</t>
  </si>
  <si>
    <t>ETC Summit-Advertising</t>
  </si>
  <si>
    <t>01-08-1403</t>
  </si>
  <si>
    <t>ETC Summit-Swag</t>
  </si>
  <si>
    <t>01-00-5000</t>
  </si>
  <si>
    <t>Revenue-Grayscale Fees</t>
  </si>
  <si>
    <t>01-00-5001</t>
  </si>
  <si>
    <t>Revenue-Donations</t>
  </si>
  <si>
    <t>01-00-5002</t>
  </si>
  <si>
    <t>Revenue-Sponsorships</t>
  </si>
  <si>
    <t>01-00-5003</t>
  </si>
  <si>
    <t>Revenue-Membership Fees</t>
  </si>
  <si>
    <t>01-00-5004</t>
  </si>
  <si>
    <t>Revenue-Interest Income</t>
  </si>
  <si>
    <t>01-00-5005</t>
  </si>
  <si>
    <t>Revenue-Other</t>
  </si>
  <si>
    <t>Membership Dues</t>
  </si>
  <si>
    <t>Travel-Transportation</t>
  </si>
  <si>
    <t>Travel-Meals &amp; Entertainment</t>
  </si>
  <si>
    <t>Website</t>
  </si>
  <si>
    <t>Presentations, logos, other</t>
  </si>
  <si>
    <t>01-02-1404</t>
  </si>
  <si>
    <t>01-02-1405</t>
  </si>
  <si>
    <t>01-02-1406</t>
  </si>
  <si>
    <t>Comms &amp; Marketing-Transparency</t>
  </si>
  <si>
    <t>Comms &amp; Marketing-Website</t>
  </si>
  <si>
    <t>Comms &amp; Marketing-Presentations, logos, other</t>
  </si>
  <si>
    <t>Presentations, logos, etc</t>
  </si>
  <si>
    <t>Financial Positions in $US</t>
  </si>
  <si>
    <t>Assets</t>
  </si>
  <si>
    <t>Cash &amp; Cash Equivalents</t>
  </si>
  <si>
    <r>
      <t>ETC (at book value)</t>
    </r>
    <r>
      <rPr>
        <vertAlign val="superscript"/>
        <sz val="10"/>
        <rFont val="Arial"/>
        <family val="2"/>
      </rPr>
      <t>1</t>
    </r>
  </si>
  <si>
    <t>Accounts Receivable</t>
  </si>
  <si>
    <t>Due from Grayscale</t>
  </si>
  <si>
    <r>
      <t>Prepaid Expenses &amp; Deposits</t>
    </r>
    <r>
      <rPr>
        <vertAlign val="superscript"/>
        <sz val="10"/>
        <rFont val="Arial"/>
        <family val="2"/>
      </rPr>
      <t>2</t>
    </r>
  </si>
  <si>
    <t>Total Assets</t>
  </si>
  <si>
    <t>Liabilities</t>
  </si>
  <si>
    <t>Accounts Payable &amp; Accrued Liabilities</t>
  </si>
  <si>
    <t>Due to Grayscale</t>
  </si>
  <si>
    <t>Total Liabilities</t>
  </si>
  <si>
    <t>Equity</t>
  </si>
  <si>
    <t>Retained Earnings</t>
  </si>
  <si>
    <t>Net (Loss/Income)</t>
  </si>
  <si>
    <t>Total Equity</t>
  </si>
  <si>
    <t>Total Liabilities &amp; Equity</t>
  </si>
  <si>
    <r>
      <t>ETC at Market Value</t>
    </r>
    <r>
      <rPr>
        <i/>
        <vertAlign val="superscript"/>
        <sz val="10"/>
        <rFont val="Arial"/>
        <family val="2"/>
      </rPr>
      <t>1</t>
    </r>
  </si>
  <si>
    <r>
      <t>Liquid assets</t>
    </r>
    <r>
      <rPr>
        <b/>
        <vertAlign val="superscript"/>
        <sz val="10"/>
        <rFont val="Arial"/>
        <family val="2"/>
      </rPr>
      <t>3</t>
    </r>
  </si>
  <si>
    <t xml:space="preserve">Book value is the value when the ETC was originally purchased. Market value is the value </t>
  </si>
  <si>
    <t>Includes deposit of $120,000 that was made for ETC Summit 2019 expenses.</t>
  </si>
  <si>
    <t>Liquid assets consist of cash and cash equivalents and ETC at market value</t>
  </si>
  <si>
    <t>01-08-1407</t>
  </si>
  <si>
    <t>ETC Summit-Other</t>
  </si>
  <si>
    <t>Development, Protocol, &amp; Partnerships</t>
  </si>
  <si>
    <t xml:space="preserve">Travel </t>
  </si>
  <si>
    <t xml:space="preserve">Finance </t>
  </si>
  <si>
    <t>Category Code</t>
  </si>
  <si>
    <t>Department</t>
  </si>
  <si>
    <t>Total Expenses by Category</t>
  </si>
  <si>
    <t>04/30/2018</t>
  </si>
  <si>
    <t>05/31/2018</t>
  </si>
  <si>
    <t>06/30/2018</t>
  </si>
  <si>
    <t>07/31/2018</t>
  </si>
  <si>
    <t>08/31/2018</t>
  </si>
  <si>
    <t>09/30/2018</t>
  </si>
  <si>
    <t>10/31/2018</t>
  </si>
  <si>
    <t>11/30/2018</t>
  </si>
  <si>
    <t>12/31/2018</t>
  </si>
  <si>
    <t>01/31/2019</t>
  </si>
  <si>
    <t>02/28/2019</t>
  </si>
  <si>
    <t>03/31/2019</t>
  </si>
  <si>
    <t>04/30/2019</t>
  </si>
  <si>
    <t>05/31/2019</t>
  </si>
  <si>
    <t>06/30/2019</t>
  </si>
  <si>
    <t>07/31/2019</t>
  </si>
  <si>
    <t>08/31/2019</t>
  </si>
  <si>
    <t>09/30/2019</t>
  </si>
  <si>
    <t>10/31/2019</t>
  </si>
  <si>
    <t>11/30/2019</t>
  </si>
  <si>
    <t>12/31/2019</t>
  </si>
  <si>
    <t>Operating Activities</t>
  </si>
  <si>
    <t>Net income/loss for the period</t>
  </si>
  <si>
    <t>Add (deduct) items not involving cash</t>
  </si>
  <si>
    <t>Intercompany</t>
  </si>
  <si>
    <t>Change in non-cash operating items</t>
  </si>
  <si>
    <t>Accounts receivable</t>
  </si>
  <si>
    <t>Accounts payable</t>
  </si>
  <si>
    <t>Cash provided by operating activities</t>
  </si>
  <si>
    <t>Total cash provided by operating activities</t>
  </si>
  <si>
    <t>Financing activities</t>
  </si>
  <si>
    <t>Payment of ETC 1% fees/Settlment of receivable</t>
  </si>
  <si>
    <t>Total cash provided by Financing activities</t>
  </si>
  <si>
    <t>Investing activities</t>
  </si>
  <si>
    <t>ETC Holding account</t>
  </si>
  <si>
    <t>ETC Trading account</t>
  </si>
  <si>
    <t>Total cash provided by Investing activities</t>
  </si>
  <si>
    <t>Net increase (decrease) in cash during the period</t>
  </si>
  <si>
    <t>Cash Beginning of the period</t>
  </si>
  <si>
    <t>Net Crypto movement</t>
  </si>
  <si>
    <t>Cash, end of period</t>
  </si>
  <si>
    <t>Cash per BS</t>
  </si>
  <si>
    <t>Cash in USD</t>
  </si>
  <si>
    <t>ETC Balances at Market</t>
  </si>
  <si>
    <t>Forecast Assumptions</t>
  </si>
  <si>
    <t>ETC Fee</t>
  </si>
  <si>
    <t>Baseline</t>
  </si>
  <si>
    <t>P&amp;L 12 Month - W Account Details (in USD)</t>
  </si>
  <si>
    <t xml:space="preserve"> </t>
  </si>
  <si>
    <t>Actual</t>
  </si>
  <si>
    <t>Forecast</t>
  </si>
  <si>
    <t>Fiscal 2019</t>
  </si>
  <si>
    <t>Month Ending</t>
  </si>
  <si>
    <t>Since inception</t>
  </si>
  <si>
    <t xml:space="preserve">  Operating Income</t>
  </si>
  <si>
    <t xml:space="preserve">  </t>
  </si>
  <si>
    <t xml:space="preserve">    Operating Expenses</t>
  </si>
  <si>
    <t xml:space="preserve">    </t>
  </si>
  <si>
    <t xml:space="preserve">      Professional &amp; Regulatory fees</t>
  </si>
  <si>
    <t xml:space="preserve">      </t>
  </si>
  <si>
    <t xml:space="preserve">        Regulatory fees</t>
  </si>
  <si>
    <t xml:space="preserve">        </t>
  </si>
  <si>
    <t xml:space="preserve">          Filing Fees</t>
  </si>
  <si>
    <t xml:space="preserve">        Total Regulatory fees</t>
  </si>
  <si>
    <t xml:space="preserve">        Professional fees</t>
  </si>
  <si>
    <t xml:space="preserve">          Legal Fees</t>
  </si>
  <si>
    <t xml:space="preserve">          IT Consulting Fees</t>
  </si>
  <si>
    <t xml:space="preserve">          Other Professional Fees</t>
  </si>
  <si>
    <t xml:space="preserve">        Total Professional fees</t>
  </si>
  <si>
    <t xml:space="preserve">      Total Professional &amp; Regulatory fees</t>
  </si>
  <si>
    <t xml:space="preserve">      Office &amp; other business exp</t>
  </si>
  <si>
    <t xml:space="preserve">        Other Operating Expense</t>
  </si>
  <si>
    <t xml:space="preserve">          Bank Service Charges</t>
  </si>
  <si>
    <t xml:space="preserve">          Franchise Tax</t>
  </si>
  <si>
    <t xml:space="preserve">        Total Other Operating Expense</t>
  </si>
  <si>
    <t xml:space="preserve">      Total Office &amp; other business exp</t>
  </si>
  <si>
    <t xml:space="preserve">      Travel &amp; entertainment</t>
  </si>
  <si>
    <t xml:space="preserve">        Travel Expenses</t>
  </si>
  <si>
    <t xml:space="preserve">          Travel</t>
  </si>
  <si>
    <t xml:space="preserve">        Total Travel Expenses</t>
  </si>
  <si>
    <t xml:space="preserve">      Total Travel &amp; entertainment</t>
  </si>
  <si>
    <t xml:space="preserve">      Marketing &amp; Events</t>
  </si>
  <si>
    <t xml:space="preserve">        Marketing Expense</t>
  </si>
  <si>
    <t xml:space="preserve">          Marketing Expense</t>
  </si>
  <si>
    <t xml:space="preserve">          Conference Sponsorships</t>
  </si>
  <si>
    <t xml:space="preserve">          Conference Materials</t>
  </si>
  <si>
    <t xml:space="preserve">          Marketing Events</t>
  </si>
  <si>
    <t xml:space="preserve">        Total Marketing Expense</t>
  </si>
  <si>
    <t xml:space="preserve">      Total Marketing</t>
  </si>
  <si>
    <t xml:space="preserve">    Total Operating Expenses</t>
  </si>
  <si>
    <t xml:space="preserve">  Total Operating Income</t>
  </si>
  <si>
    <t xml:space="preserve">  Unrealized Gains/Losses</t>
  </si>
  <si>
    <t xml:space="preserve">    Other Income</t>
  </si>
  <si>
    <t xml:space="preserve">      Other Income</t>
  </si>
  <si>
    <t xml:space="preserve">        ETCC Fees from ETC</t>
  </si>
  <si>
    <t xml:space="preserve">        Donation Income</t>
  </si>
  <si>
    <t xml:space="preserve">      Total Other Income</t>
  </si>
  <si>
    <t xml:space="preserve">    Total Other Income</t>
  </si>
  <si>
    <t xml:space="preserve">  Total Unrealized Gains/Losses</t>
  </si>
  <si>
    <t xml:space="preserve">  Net Income (Loss)</t>
  </si>
  <si>
    <t>Cumulative</t>
  </si>
  <si>
    <t>Balance Sheet (in USD)</t>
  </si>
  <si>
    <t>Reporting Book:</t>
  </si>
  <si>
    <t>As of Date:</t>
  </si>
  <si>
    <t>Company:</t>
  </si>
  <si>
    <t xml:space="preserve">  Assets</t>
  </si>
  <si>
    <t xml:space="preserve">    Current Assets</t>
  </si>
  <si>
    <t xml:space="preserve">      Cash and Cash Equivalents</t>
  </si>
  <si>
    <t xml:space="preserve">        10231 - ETC Coop Silvergate Checking - 2899</t>
  </si>
  <si>
    <t xml:space="preserve">      Total Cash and Cash Equivalents</t>
  </si>
  <si>
    <t xml:space="preserve">      Short Term Investments</t>
  </si>
  <si>
    <t xml:space="preserve">        12614 - Proprietary ETC - (Investment)</t>
  </si>
  <si>
    <t xml:space="preserve">        12615 - Proprietary ETC - (Trading)</t>
  </si>
  <si>
    <t xml:space="preserve">      Total ST Investments</t>
  </si>
  <si>
    <t xml:space="preserve">      Accounts Receivable, Net</t>
  </si>
  <si>
    <t xml:space="preserve">        Accounts Receivable</t>
  </si>
  <si>
    <t xml:space="preserve">          11400 - Accounts Receivable</t>
  </si>
  <si>
    <t xml:space="preserve">        Total Accounts Receivable</t>
  </si>
  <si>
    <t xml:space="preserve">      Total Accounts Receivable, Net</t>
  </si>
  <si>
    <t xml:space="preserve">      Intercompany Receivable</t>
  </si>
  <si>
    <t xml:space="preserve">        11886 - Due from ACAM</t>
  </si>
  <si>
    <t xml:space="preserve">      Total Intercompany Receivable</t>
  </si>
  <si>
    <t xml:space="preserve">    Total Current Assets</t>
  </si>
  <si>
    <t xml:space="preserve">  Total Assets</t>
  </si>
  <si>
    <t xml:space="preserve">  Liabilities and Equity</t>
  </si>
  <si>
    <t xml:space="preserve">    Liabilities</t>
  </si>
  <si>
    <t xml:space="preserve">      Current Liabilities</t>
  </si>
  <si>
    <t xml:space="preserve">        Accounts Payable</t>
  </si>
  <si>
    <t xml:space="preserve">          98765 - Accounts Payable</t>
  </si>
  <si>
    <t xml:space="preserve">        Total Accounts Payable</t>
  </si>
  <si>
    <t xml:space="preserve">        Intercompany Payable</t>
  </si>
  <si>
    <t xml:space="preserve">          21820 - Due to DCG</t>
  </si>
  <si>
    <t xml:space="preserve">          98766 - Elim #1</t>
  </si>
  <si>
    <t xml:space="preserve">        Total Intercompany Payable</t>
  </si>
  <si>
    <t xml:space="preserve">      Total Current Liabilities</t>
  </si>
  <si>
    <t xml:space="preserve">    Total Liabilities</t>
  </si>
  <si>
    <t xml:space="preserve">    Stockholders Equity</t>
  </si>
  <si>
    <t xml:space="preserve">      Retained Earnings</t>
  </si>
  <si>
    <t xml:space="preserve">        35100 - Retained Earnings</t>
  </si>
  <si>
    <t xml:space="preserve">      Total Retained Earnings</t>
  </si>
  <si>
    <t xml:space="preserve">      Net Income (Loss)</t>
  </si>
  <si>
    <t xml:space="preserve">    Total Stockholders Equity</t>
  </si>
  <si>
    <t xml:space="preserve">  Total Liabilities and Equity</t>
  </si>
  <si>
    <t>Created on: 04/15/2019 06:33 PM</t>
  </si>
  <si>
    <t>Net movement of Intercompany</t>
  </si>
  <si>
    <t>Net income</t>
  </si>
  <si>
    <t>in USD</t>
  </si>
  <si>
    <t>Manager, Developer Relations</t>
  </si>
  <si>
    <t>Financial Controller &amp; Business Services</t>
  </si>
  <si>
    <t>Comms &amp; Marketing Manager</t>
  </si>
  <si>
    <t>Executive Director</t>
  </si>
  <si>
    <t>Part time Dev Work</t>
  </si>
  <si>
    <t>Keccak 256 impl</t>
  </si>
  <si>
    <t>Improved Besu mining</t>
  </si>
  <si>
    <t>Checkpointing</t>
  </si>
  <si>
    <t>Treasury</t>
  </si>
  <si>
    <t>Outreach</t>
  </si>
  <si>
    <t>Q2</t>
  </si>
  <si>
    <t>Q1</t>
  </si>
  <si>
    <t>General Besu Maintenance</t>
  </si>
  <si>
    <t>Q3</t>
  </si>
  <si>
    <t>Q4</t>
  </si>
  <si>
    <t>Training &amp; Development</t>
  </si>
  <si>
    <t>2021 Budget</t>
  </si>
  <si>
    <t>01-01-1310</t>
  </si>
  <si>
    <t>01-02-1100</t>
  </si>
  <si>
    <t>2021Actual</t>
  </si>
  <si>
    <t>2021 Actual</t>
  </si>
  <si>
    <t>Actual 2020 to Actual 2021 ($)</t>
  </si>
  <si>
    <t>Actual 2020 to Actual 2021 (%)</t>
  </si>
  <si>
    <t>FY 2021</t>
  </si>
  <si>
    <t>Besu Developer</t>
  </si>
  <si>
    <t xml:space="preserve">ETC Coooperative 2021 Budget </t>
  </si>
  <si>
    <t>Other Development Work</t>
  </si>
  <si>
    <t>Core Geth Team</t>
  </si>
  <si>
    <t xml:space="preserve">ETC Coooperative 2022 Budget </t>
  </si>
  <si>
    <t>Treasury Proposal</t>
  </si>
  <si>
    <t>Computer hardware</t>
  </si>
  <si>
    <t>People</t>
  </si>
  <si>
    <t xml:space="preserve">ETH CC  </t>
  </si>
  <si>
    <t>Paris</t>
  </si>
  <si>
    <t>Columbia</t>
  </si>
  <si>
    <t>Ecosystem-Grants</t>
  </si>
  <si>
    <t xml:space="preserve">Note that this negative balance can be funded with the beginning bank balance. </t>
  </si>
  <si>
    <t>Project Manager</t>
  </si>
  <si>
    <t>Net income/(loss)</t>
  </si>
  <si>
    <t>20,000 July for team building/retreat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</si>
</sst>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0.00_-;\-&quot;$&quot;* #,##0.00_-;_-&quot;$&quot;* &quot;-&quot;??_-;_-@_-"/>
    <numFmt numFmtId="43" formatCode="_-* #,##0.00_-;\-* #,##0.00_-;_-* &quot;-&quot;??_-;_-@_-"/>
    <numFmt numFmtId="164" formatCode="_(* #,##0.00_);_(* \(#,##0.00\);_(* &quot;-&quot;??_);_(@_)"/>
    <numFmt numFmtId="165" formatCode="_-* #,##0_-;\(#,##0\)_-;_-* &quot;-&quot;_-;_-@_-"/>
    <numFmt numFmtId="166" formatCode="#,##0;\(#,##0\)"/>
    <numFmt numFmtId="167" formatCode="_-&quot;$&quot;* #,##0_-;\-&quot;$&quot;* #,##0_-;_-&quot;$&quot;* &quot;-&quot;??_-;_-@_-"/>
    <numFmt numFmtId="168" formatCode="_(* #,##0_);_(* \(#,##0\);_(* &quot;-&quot;??_);_(@_)"/>
    <numFmt numFmtId="169" formatCode="_(* #,##0_);_(* \(#,##0\);_(* &quot;-&quot;?_);_(@_)"/>
    <numFmt numFmtId="170" formatCode="_(* #,##0.0_);_(* \(#,##0.0\);_(* &quot;-&quot;?_);_(@_)"/>
    <numFmt numFmtId="171" formatCode="&quot;$&quot;#,##0;&quot;$&quot;\(#,##0\)"/>
    <numFmt numFmtId="172" formatCode="#,##0.00;\(#,##0.00\)"/>
    <numFmt numFmtId="173" formatCode="&quot;$&quot;\ #,##0.00;&quot;$&quot;\ \(#,##0.00\)"/>
  </numFmts>
  <fonts count="60" x14ac:knownFonts="1">
    <font>
      <sz val="11"/>
      <color theme="1"/>
      <name val="Open Sans"/>
      <family val="2"/>
      <scheme val="minor"/>
    </font>
    <font>
      <sz val="12"/>
      <color theme="1"/>
      <name val="Open Sans"/>
      <family val="2"/>
      <scheme val="minor"/>
    </font>
    <font>
      <sz val="11"/>
      <color theme="1"/>
      <name val="Open Sans"/>
      <family val="2"/>
      <scheme val="minor"/>
    </font>
    <font>
      <sz val="10"/>
      <name val="Arial"/>
      <family val="2"/>
    </font>
    <font>
      <sz val="8"/>
      <name val="Open Sans"/>
      <family val="2"/>
      <scheme val="minor"/>
    </font>
    <font>
      <sz val="11"/>
      <color theme="1"/>
      <name val="Open Sans"/>
      <family val="2"/>
    </font>
    <font>
      <sz val="20"/>
      <color theme="1"/>
      <name val="Open Sans"/>
      <family val="2"/>
    </font>
    <font>
      <sz val="36"/>
      <color theme="1"/>
      <name val="Open Sans"/>
      <family val="2"/>
    </font>
    <font>
      <b/>
      <sz val="11"/>
      <color theme="1"/>
      <name val="Open Sans"/>
      <family val="2"/>
      <scheme val="minor"/>
    </font>
    <font>
      <sz val="9"/>
      <color theme="1"/>
      <name val="Open Sans"/>
      <family val="2"/>
      <scheme val="minor"/>
    </font>
    <font>
      <b/>
      <sz val="9"/>
      <color rgb="FF000000"/>
      <name val="Open Sans"/>
      <family val="2"/>
      <scheme val="minor"/>
    </font>
    <font>
      <b/>
      <sz val="9"/>
      <color theme="1"/>
      <name val="Open Sans"/>
      <family val="2"/>
      <scheme val="minor"/>
    </font>
    <font>
      <b/>
      <sz val="10"/>
      <color theme="0"/>
      <name val="Open Sans"/>
      <family val="2"/>
      <scheme val="minor"/>
    </font>
    <font>
      <sz val="9"/>
      <color rgb="FF000000"/>
      <name val="Open Sans"/>
      <family val="2"/>
      <scheme val="minor"/>
    </font>
    <font>
      <b/>
      <sz val="9"/>
      <name val="Open Sans"/>
      <family val="2"/>
      <scheme val="minor"/>
    </font>
    <font>
      <b/>
      <sz val="9"/>
      <color rgb="FFFF0000"/>
      <name val="Open Sans"/>
      <family val="2"/>
      <scheme val="minor"/>
    </font>
    <font>
      <sz val="9"/>
      <name val="Open Sans"/>
      <family val="2"/>
      <scheme val="minor"/>
    </font>
    <font>
      <sz val="9"/>
      <color rgb="FFFF0000"/>
      <name val="Open Sans"/>
      <family val="2"/>
      <scheme val="minor"/>
    </font>
    <font>
      <sz val="8"/>
      <color rgb="FF000000"/>
      <name val="Open Sans"/>
      <family val="2"/>
      <scheme val="minor"/>
    </font>
    <font>
      <b/>
      <sz val="10"/>
      <color rgb="FF000000"/>
      <name val="Open Sans"/>
      <family val="2"/>
      <scheme val="minor"/>
    </font>
    <font>
      <b/>
      <sz val="10"/>
      <color theme="1"/>
      <name val="Open Sans"/>
      <family val="2"/>
      <scheme val="minor"/>
    </font>
    <font>
      <sz val="10"/>
      <color theme="1"/>
      <name val="Open Sans"/>
      <family val="2"/>
      <scheme val="minor"/>
    </font>
    <font>
      <i/>
      <sz val="10"/>
      <color theme="1"/>
      <name val="Open Sans"/>
      <family val="2"/>
      <scheme val="minor"/>
    </font>
    <font>
      <b/>
      <i/>
      <sz val="10"/>
      <color theme="1"/>
      <name val="Open Sans"/>
      <family val="2"/>
      <scheme val="minor"/>
    </font>
    <font>
      <i/>
      <sz val="11"/>
      <color theme="1"/>
      <name val="Open Sans"/>
      <family val="2"/>
      <scheme val="minor"/>
    </font>
    <font>
      <b/>
      <sz val="10"/>
      <color indexed="9"/>
      <name val="Open Sans"/>
      <family val="2"/>
      <scheme val="minor"/>
    </font>
    <font>
      <sz val="10"/>
      <name val="Open Sans"/>
      <family val="2"/>
      <scheme val="minor"/>
    </font>
    <font>
      <b/>
      <sz val="10"/>
      <name val="Open Sans"/>
      <family val="2"/>
      <scheme val="minor"/>
    </font>
    <font>
      <sz val="10"/>
      <color rgb="FF0000FF"/>
      <name val="Open Sans"/>
      <family val="2"/>
      <scheme val="minor"/>
    </font>
    <font>
      <b/>
      <sz val="9"/>
      <color rgb="FF000000"/>
      <name val="Merriweather BOLD"/>
      <scheme val="major"/>
    </font>
    <font>
      <sz val="9"/>
      <color theme="1"/>
      <name val="Merriweather BOLD"/>
      <scheme val="major"/>
    </font>
    <font>
      <b/>
      <sz val="11"/>
      <color theme="1"/>
      <name val="Merriweather BOLD"/>
      <scheme val="major"/>
    </font>
    <font>
      <b/>
      <sz val="9"/>
      <color theme="0"/>
      <name val="Open Sans"/>
      <family val="2"/>
      <scheme val="minor"/>
    </font>
    <font>
      <sz val="10"/>
      <color theme="0"/>
      <name val="Open Sans"/>
      <family val="2"/>
      <scheme val="minor"/>
    </font>
    <font>
      <sz val="9"/>
      <color theme="0"/>
      <name val="Open Sans"/>
      <family val="2"/>
      <scheme val="minor"/>
    </font>
    <font>
      <b/>
      <sz val="12"/>
      <name val="Open Sans"/>
      <family val="2"/>
      <scheme val="minor"/>
    </font>
    <font>
      <sz val="10"/>
      <color rgb="FFF3F3F4"/>
      <name val="Open Sans"/>
      <family val="2"/>
      <scheme val="minor"/>
    </font>
    <font>
      <b/>
      <sz val="10"/>
      <color rgb="FFF3F3F4"/>
      <name val="Merriweather BOLD"/>
      <scheme val="major"/>
    </font>
    <font>
      <sz val="10"/>
      <color rgb="FFF3F3F4"/>
      <name val="Merriweather BOLD"/>
      <scheme val="major"/>
    </font>
    <font>
      <b/>
      <sz val="10"/>
      <name val="Merriweather BOLD"/>
      <scheme val="major"/>
    </font>
    <font>
      <sz val="10"/>
      <name val="Merriweather BOLD"/>
      <scheme val="major"/>
    </font>
    <font>
      <i/>
      <sz val="10"/>
      <name val="Open Sans"/>
      <family val="2"/>
      <scheme val="minor"/>
    </font>
    <font>
      <b/>
      <sz val="10"/>
      <color theme="0"/>
      <name val="Merriweather BOLD"/>
      <scheme val="major"/>
    </font>
    <font>
      <sz val="10"/>
      <color theme="0"/>
      <name val="Merriweather BOLD"/>
      <scheme val="major"/>
    </font>
    <font>
      <sz val="12"/>
      <color theme="1"/>
      <name val="Open Sans"/>
      <family val="2"/>
      <scheme val="minor"/>
    </font>
    <font>
      <b/>
      <sz val="12"/>
      <color theme="1"/>
      <name val="Open Sans"/>
      <family val="2"/>
      <scheme val="minor"/>
    </font>
    <font>
      <b/>
      <sz val="10"/>
      <color theme="0"/>
      <name val="Arial"/>
      <family val="2"/>
    </font>
    <font>
      <b/>
      <sz val="10"/>
      <name val="Arial"/>
      <family val="2"/>
    </font>
    <font>
      <vertAlign val="superscript"/>
      <sz val="10"/>
      <name val="Arial"/>
      <family val="2"/>
    </font>
    <font>
      <i/>
      <sz val="10"/>
      <name val="Arial"/>
      <family val="2"/>
    </font>
    <font>
      <i/>
      <vertAlign val="superscript"/>
      <sz val="10"/>
      <name val="Arial"/>
      <family val="2"/>
    </font>
    <font>
      <b/>
      <vertAlign val="superscript"/>
      <sz val="10"/>
      <name val="Arial"/>
      <family val="2"/>
    </font>
    <font>
      <sz val="8"/>
      <name val="Helvetica"/>
      <family val="2"/>
    </font>
    <font>
      <sz val="8"/>
      <color rgb="FF00B0F0"/>
      <name val="Helvetica"/>
      <family val="2"/>
    </font>
    <font>
      <b/>
      <sz val="12"/>
      <name val="Helvetica"/>
      <family val="2"/>
    </font>
    <font>
      <sz val="6"/>
      <name val="Helvetica"/>
      <family val="2"/>
    </font>
    <font>
      <b/>
      <sz val="8"/>
      <name val="Helvetica"/>
      <family val="2"/>
    </font>
    <font>
      <sz val="9"/>
      <color theme="2"/>
      <name val="Open Sans"/>
      <family val="2"/>
      <scheme val="minor"/>
    </font>
    <font>
      <sz val="9"/>
      <color indexed="81"/>
      <name val="Tahoma"/>
      <family val="2"/>
    </font>
    <font>
      <b/>
      <sz val="9"/>
      <color indexed="81"/>
      <name val="Tahoma"/>
      <family val="2"/>
    </font>
  </fonts>
  <fills count="2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66FFFF"/>
        <bgColor indexed="64"/>
      </patternFill>
    </fill>
    <fill>
      <patternFill patternType="solid">
        <fgColor rgb="FFE2D8AF"/>
        <bgColor indexed="64"/>
      </patternFill>
    </fill>
    <fill>
      <patternFill patternType="solid">
        <fgColor rgb="FFF0EAE9"/>
        <bgColor indexed="64"/>
      </patternFill>
    </fill>
    <fill>
      <patternFill patternType="solid">
        <fgColor rgb="FFF3F3F4"/>
        <bgColor indexed="64"/>
      </patternFill>
    </fill>
    <fill>
      <patternFill patternType="solid">
        <fgColor theme="5"/>
        <bgColor indexed="64"/>
      </patternFill>
    </fill>
    <fill>
      <patternFill patternType="solid">
        <fgColor theme="2"/>
        <bgColor indexed="64"/>
      </patternFill>
    </fill>
    <fill>
      <patternFill patternType="solid">
        <fgColor theme="8"/>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5" tint="0.74999237037263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00590B"/>
        <bgColor indexed="64"/>
      </patternFill>
    </fill>
    <fill>
      <patternFill patternType="solid">
        <fgColor rgb="FF33FF99"/>
        <bgColor indexed="64"/>
      </patternFill>
    </fill>
    <fill>
      <patternFill patternType="solid">
        <fgColor rgb="FFFFFFFF"/>
        <bgColor indexed="64"/>
      </patternFill>
    </fill>
    <fill>
      <patternFill patternType="solid">
        <fgColor rgb="FF00B0F0"/>
        <bgColor indexed="64"/>
      </patternFill>
    </fill>
  </fills>
  <borders count="4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theme="0"/>
      </top>
      <bottom/>
      <diagonal/>
    </border>
    <border>
      <left style="medium">
        <color rgb="FFFFFFFF"/>
      </left>
      <right style="medium">
        <color rgb="FFFFFFFF"/>
      </right>
      <top style="medium">
        <color rgb="FFFFFFFF"/>
      </top>
      <bottom style="medium">
        <color rgb="FFFFFFFF"/>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theme="0"/>
      </left>
      <right style="medium">
        <color rgb="FFFFFFFF"/>
      </right>
      <top style="medium">
        <color rgb="FFFFFFFF"/>
      </top>
      <bottom style="medium">
        <color rgb="FFFFFFFF"/>
      </bottom>
      <diagonal/>
    </border>
    <border>
      <left style="medium">
        <color rgb="FFFFFFFF"/>
      </left>
      <right/>
      <top style="thin">
        <color theme="0"/>
      </top>
      <bottom style="medium">
        <color rgb="FFFFFFFF"/>
      </bottom>
      <diagonal/>
    </border>
    <border>
      <left/>
      <right/>
      <top style="thin">
        <color theme="0"/>
      </top>
      <bottom style="medium">
        <color rgb="FFFFFFFF"/>
      </bottom>
      <diagonal/>
    </border>
    <border>
      <left/>
      <right style="medium">
        <color rgb="FFFFFFFF"/>
      </right>
      <top style="thin">
        <color theme="0"/>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 fillId="0" borderId="0"/>
    <xf numFmtId="0" fontId="44" fillId="0" borderId="0"/>
    <xf numFmtId="44" fontId="3" fillId="0" borderId="0" applyFont="0" applyFill="0" applyBorder="0" applyAlignment="0" applyProtection="0"/>
  </cellStyleXfs>
  <cellXfs count="280">
    <xf numFmtId="0" fontId="0" fillId="0" borderId="0" xfId="0"/>
    <xf numFmtId="0" fontId="5" fillId="4" borderId="0" xfId="0" applyFont="1" applyFill="1"/>
    <xf numFmtId="0" fontId="6" fillId="4" borderId="0" xfId="0" applyFont="1" applyFill="1"/>
    <xf numFmtId="0" fontId="7" fillId="4" borderId="0" xfId="0" applyFont="1" applyFill="1" applyAlignment="1">
      <alignment horizontal="right"/>
    </xf>
    <xf numFmtId="0" fontId="9" fillId="4" borderId="0" xfId="0" applyFont="1" applyFill="1" applyProtection="1">
      <protection locked="0"/>
    </xf>
    <xf numFmtId="0" fontId="11" fillId="4" borderId="0" xfId="0" applyFont="1" applyFill="1" applyProtection="1">
      <protection locked="0"/>
    </xf>
    <xf numFmtId="15" fontId="11" fillId="4" borderId="0" xfId="0" quotePrefix="1" applyNumberFormat="1" applyFont="1" applyFill="1" applyProtection="1">
      <protection locked="0"/>
    </xf>
    <xf numFmtId="0" fontId="10" fillId="4" borderId="0" xfId="0" applyFont="1" applyFill="1" applyAlignment="1" applyProtection="1">
      <alignment horizontal="center" vertical="center" wrapText="1" readingOrder="1"/>
      <protection locked="0"/>
    </xf>
    <xf numFmtId="0" fontId="13" fillId="4" borderId="16" xfId="0" applyFont="1" applyFill="1" applyBorder="1" applyAlignment="1">
      <alignment horizontal="left" wrapText="1" readingOrder="1"/>
    </xf>
    <xf numFmtId="0" fontId="9" fillId="0" borderId="0" xfId="0" applyFont="1" applyProtection="1">
      <protection locked="0"/>
    </xf>
    <xf numFmtId="0" fontId="13" fillId="4" borderId="20" xfId="0" applyFont="1" applyFill="1" applyBorder="1" applyAlignment="1">
      <alignment horizontal="left" wrapText="1" readingOrder="1"/>
    </xf>
    <xf numFmtId="0" fontId="14" fillId="10" borderId="24" xfId="0" applyFont="1" applyFill="1" applyBorder="1" applyAlignment="1">
      <alignment horizontal="left" wrapText="1" readingOrder="1"/>
    </xf>
    <xf numFmtId="0" fontId="14" fillId="4" borderId="17" xfId="0" applyFont="1" applyFill="1" applyBorder="1" applyAlignment="1">
      <alignment horizontal="left" wrapText="1" readingOrder="1"/>
    </xf>
    <xf numFmtId="0" fontId="16" fillId="10" borderId="24" xfId="0" applyFont="1" applyFill="1" applyBorder="1" applyAlignment="1">
      <alignment horizontal="left" wrapText="1" indent="1" readingOrder="1"/>
    </xf>
    <xf numFmtId="0" fontId="16" fillId="4" borderId="17" xfId="0" applyFont="1" applyFill="1" applyBorder="1" applyAlignment="1">
      <alignment horizontal="left" wrapText="1" readingOrder="1"/>
    </xf>
    <xf numFmtId="0" fontId="18" fillId="4" borderId="0" xfId="0" applyFont="1" applyFill="1" applyAlignment="1" applyProtection="1">
      <alignment horizontal="left" vertical="center" wrapText="1" readingOrder="1"/>
      <protection locked="0"/>
    </xf>
    <xf numFmtId="0" fontId="13" fillId="4" borderId="0" xfId="0" applyFont="1" applyFill="1" applyAlignment="1" applyProtection="1">
      <alignment horizontal="left" wrapText="1" readingOrder="1"/>
      <protection locked="0"/>
    </xf>
    <xf numFmtId="2" fontId="18" fillId="4" borderId="0" xfId="0" applyNumberFormat="1" applyFont="1" applyFill="1" applyAlignment="1" applyProtection="1">
      <alignment horizontal="center" vertical="center" wrapText="1" readingOrder="1"/>
      <protection locked="0"/>
    </xf>
    <xf numFmtId="0" fontId="10" fillId="4" borderId="0" xfId="0" applyFont="1" applyFill="1" applyAlignment="1" applyProtection="1">
      <alignment horizontal="right" vertical="center" wrapText="1" readingOrder="1"/>
      <protection locked="0"/>
    </xf>
    <xf numFmtId="0" fontId="10" fillId="4" borderId="0" xfId="0" applyFont="1" applyFill="1" applyAlignment="1" applyProtection="1">
      <alignment horizontal="left" vertical="center" wrapText="1" readingOrder="1"/>
      <protection locked="0"/>
    </xf>
    <xf numFmtId="0" fontId="13" fillId="4" borderId="16" xfId="0" applyFont="1" applyFill="1" applyBorder="1" applyAlignment="1" applyProtection="1">
      <alignment horizontal="left" wrapText="1" readingOrder="1"/>
      <protection locked="0"/>
    </xf>
    <xf numFmtId="0" fontId="10" fillId="8" borderId="16" xfId="0" applyFont="1" applyFill="1" applyBorder="1" applyAlignment="1" applyProtection="1">
      <alignment horizontal="left" vertical="center" wrapText="1" readingOrder="1"/>
      <protection locked="0"/>
    </xf>
    <xf numFmtId="0" fontId="14" fillId="9" borderId="28" xfId="0" applyFont="1" applyFill="1" applyBorder="1" applyAlignment="1" applyProtection="1">
      <alignment horizontal="center" wrapText="1" readingOrder="1"/>
      <protection locked="0"/>
    </xf>
    <xf numFmtId="0" fontId="21" fillId="0" borderId="0" xfId="0" applyFont="1"/>
    <xf numFmtId="0" fontId="21" fillId="0" borderId="0" xfId="0" applyFont="1" applyBorder="1"/>
    <xf numFmtId="0" fontId="20" fillId="7" borderId="6" xfId="0" applyFont="1" applyFill="1" applyBorder="1"/>
    <xf numFmtId="0" fontId="20" fillId="0" borderId="11" xfId="0" applyFont="1" applyBorder="1"/>
    <xf numFmtId="0" fontId="22" fillId="0" borderId="11" xfId="0" applyFont="1" applyBorder="1"/>
    <xf numFmtId="167" fontId="21" fillId="0" borderId="0" xfId="2" applyNumberFormat="1" applyFont="1" applyBorder="1"/>
    <xf numFmtId="167" fontId="20" fillId="7" borderId="6" xfId="2" applyNumberFormat="1" applyFont="1" applyFill="1" applyBorder="1"/>
    <xf numFmtId="0" fontId="23" fillId="5" borderId="12" xfId="0" applyFont="1" applyFill="1" applyBorder="1"/>
    <xf numFmtId="0" fontId="21" fillId="5" borderId="4" xfId="0" applyFont="1" applyFill="1" applyBorder="1"/>
    <xf numFmtId="167" fontId="20" fillId="5" borderId="4" xfId="2" applyNumberFormat="1" applyFont="1" applyFill="1" applyBorder="1"/>
    <xf numFmtId="167" fontId="20" fillId="7" borderId="7" xfId="2" applyNumberFormat="1" applyFont="1" applyFill="1" applyBorder="1"/>
    <xf numFmtId="0" fontId="21" fillId="7" borderId="6" xfId="0" applyFont="1" applyFill="1" applyBorder="1"/>
    <xf numFmtId="9" fontId="21" fillId="0" borderId="5" xfId="0" applyNumberFormat="1" applyFont="1" applyBorder="1"/>
    <xf numFmtId="0" fontId="22" fillId="0" borderId="13" xfId="0" applyFont="1" applyBorder="1"/>
    <xf numFmtId="0" fontId="21" fillId="0" borderId="3" xfId="0" applyFont="1" applyBorder="1"/>
    <xf numFmtId="167" fontId="21" fillId="0" borderId="3" xfId="2" applyNumberFormat="1" applyFont="1" applyBorder="1"/>
    <xf numFmtId="167" fontId="20" fillId="7" borderId="8" xfId="2" applyNumberFormat="1" applyFont="1" applyFill="1" applyBorder="1"/>
    <xf numFmtId="0" fontId="22" fillId="6" borderId="11" xfId="0" applyFont="1" applyFill="1" applyBorder="1"/>
    <xf numFmtId="167" fontId="20" fillId="7" borderId="6" xfId="0" applyNumberFormat="1" applyFont="1" applyFill="1" applyBorder="1"/>
    <xf numFmtId="0" fontId="21" fillId="0" borderId="13" xfId="0" applyFont="1" applyBorder="1"/>
    <xf numFmtId="0" fontId="21" fillId="7" borderId="8" xfId="0" applyFont="1" applyFill="1" applyBorder="1"/>
    <xf numFmtId="167" fontId="20" fillId="7" borderId="7" xfId="0" applyNumberFormat="1" applyFont="1" applyFill="1" applyBorder="1"/>
    <xf numFmtId="0" fontId="8" fillId="0" borderId="0" xfId="0" applyFont="1"/>
    <xf numFmtId="0" fontId="0" fillId="0" borderId="0" xfId="0" applyFont="1"/>
    <xf numFmtId="0" fontId="24" fillId="0" borderId="0" xfId="0" applyFont="1"/>
    <xf numFmtId="9" fontId="8" fillId="0" borderId="14" xfId="3" applyFont="1" applyBorder="1" applyAlignment="1">
      <alignment horizontal="center"/>
    </xf>
    <xf numFmtId="43" fontId="8" fillId="0" borderId="0" xfId="1" applyFont="1"/>
    <xf numFmtId="0" fontId="0" fillId="6" borderId="0" xfId="0" applyFont="1" applyFill="1"/>
    <xf numFmtId="43" fontId="0" fillId="0" borderId="0" xfId="0" applyNumberFormat="1" applyFont="1"/>
    <xf numFmtId="44" fontId="0" fillId="0" borderId="5" xfId="2" applyFont="1" applyBorder="1" applyAlignment="1">
      <alignment horizontal="center"/>
    </xf>
    <xf numFmtId="0" fontId="9" fillId="0" borderId="0" xfId="0" applyFont="1"/>
    <xf numFmtId="0" fontId="0" fillId="0" borderId="0" xfId="0" applyFont="1" applyAlignment="1">
      <alignment horizontal="center"/>
    </xf>
    <xf numFmtId="44" fontId="0" fillId="0" borderId="0" xfId="2" applyFont="1" applyAlignment="1">
      <alignment horizontal="center"/>
    </xf>
    <xf numFmtId="44" fontId="0" fillId="0" borderId="0" xfId="0" applyNumberFormat="1" applyFont="1"/>
    <xf numFmtId="44" fontId="0" fillId="0" borderId="0" xfId="2" applyFont="1"/>
    <xf numFmtId="0" fontId="8" fillId="0" borderId="4" xfId="0" applyFont="1" applyBorder="1"/>
    <xf numFmtId="44" fontId="8" fillId="0" borderId="4" xfId="0" applyNumberFormat="1" applyFont="1" applyBorder="1"/>
    <xf numFmtId="0" fontId="24" fillId="0" borderId="4" xfId="0" applyFont="1" applyBorder="1"/>
    <xf numFmtId="0" fontId="0" fillId="0" borderId="4" xfId="0" applyFont="1" applyBorder="1"/>
    <xf numFmtId="44" fontId="8" fillId="0" borderId="4" xfId="2" applyFont="1" applyBorder="1"/>
    <xf numFmtId="0" fontId="5" fillId="11" borderId="0" xfId="0" applyFont="1" applyFill="1"/>
    <xf numFmtId="0" fontId="2" fillId="0" borderId="0" xfId="0" applyFont="1"/>
    <xf numFmtId="0" fontId="25" fillId="0" borderId="0" xfId="4" applyFont="1"/>
    <xf numFmtId="0" fontId="25" fillId="0" borderId="0" xfId="4" applyFont="1" applyAlignment="1">
      <alignment horizontal="center"/>
    </xf>
    <xf numFmtId="166" fontId="26" fillId="0" borderId="0" xfId="4" applyNumberFormat="1" applyFont="1" applyAlignment="1">
      <alignment horizontal="right" indent="1"/>
    </xf>
    <xf numFmtId="0" fontId="27" fillId="0" borderId="0" xfId="4" applyFont="1" applyAlignment="1">
      <alignment horizontal="left"/>
    </xf>
    <xf numFmtId="0" fontId="26" fillId="0" borderId="0" xfId="4" applyFont="1" applyAlignment="1">
      <alignment horizontal="left" indent="1"/>
    </xf>
    <xf numFmtId="166" fontId="28" fillId="0" borderId="0" xfId="4" applyNumberFormat="1" applyFont="1" applyAlignment="1">
      <alignment horizontal="right" indent="1"/>
    </xf>
    <xf numFmtId="0" fontId="26" fillId="0" borderId="1" xfId="4" applyFont="1" applyBorder="1" applyAlignment="1">
      <alignment horizontal="left" indent="1"/>
    </xf>
    <xf numFmtId="166" fontId="26" fillId="0" borderId="1" xfId="4" applyNumberFormat="1" applyFont="1" applyBorder="1" applyAlignment="1">
      <alignment horizontal="right" indent="1"/>
    </xf>
    <xf numFmtId="0" fontId="27" fillId="0" borderId="0" xfId="4" applyFont="1"/>
    <xf numFmtId="166" fontId="26" fillId="0" borderId="2" xfId="4" applyNumberFormat="1" applyFont="1" applyBorder="1" applyAlignment="1">
      <alignment horizontal="right" indent="1"/>
    </xf>
    <xf numFmtId="0" fontId="26" fillId="3" borderId="0" xfId="4" applyFont="1" applyFill="1" applyAlignment="1">
      <alignment horizontal="left" indent="1"/>
    </xf>
    <xf numFmtId="0" fontId="30" fillId="4" borderId="0" xfId="0" applyFont="1" applyFill="1" applyProtection="1">
      <protection locked="0"/>
    </xf>
    <xf numFmtId="0" fontId="30" fillId="4" borderId="0" xfId="0" applyFont="1" applyFill="1" applyAlignment="1" applyProtection="1">
      <alignment horizontal="right"/>
      <protection locked="0"/>
    </xf>
    <xf numFmtId="0" fontId="29" fillId="4" borderId="0" xfId="0" applyFont="1" applyFill="1" applyAlignment="1" applyProtection="1">
      <alignment horizontal="center" vertical="center" wrapText="1" readingOrder="1"/>
      <protection locked="0"/>
    </xf>
    <xf numFmtId="0" fontId="10" fillId="12" borderId="16" xfId="0" applyFont="1" applyFill="1" applyBorder="1" applyAlignment="1">
      <alignment horizontal="left" vertical="center" wrapText="1" readingOrder="1"/>
    </xf>
    <xf numFmtId="0" fontId="10" fillId="12" borderId="23" xfId="0" applyFont="1" applyFill="1" applyBorder="1" applyAlignment="1" applyProtection="1">
      <alignment vertical="center" wrapText="1" readingOrder="1"/>
      <protection locked="0"/>
    </xf>
    <xf numFmtId="0" fontId="9" fillId="12" borderId="0" xfId="0" applyFont="1" applyFill="1" applyProtection="1">
      <protection locked="0"/>
    </xf>
    <xf numFmtId="168" fontId="14" fillId="10" borderId="17" xfId="1" applyNumberFormat="1" applyFont="1" applyFill="1" applyBorder="1" applyAlignment="1">
      <alignment horizontal="left" wrapText="1" readingOrder="1"/>
    </xf>
    <xf numFmtId="9" fontId="14" fillId="10" borderId="17" xfId="3" applyFont="1" applyFill="1" applyBorder="1" applyAlignment="1">
      <alignment horizontal="right" wrapText="1" readingOrder="1"/>
    </xf>
    <xf numFmtId="170" fontId="14" fillId="10" borderId="17" xfId="0" applyNumberFormat="1" applyFont="1" applyFill="1" applyBorder="1" applyAlignment="1">
      <alignment horizontal="left" wrapText="1" readingOrder="1"/>
    </xf>
    <xf numFmtId="170" fontId="14" fillId="10" borderId="17" xfId="0" applyNumberFormat="1" applyFont="1" applyFill="1" applyBorder="1" applyAlignment="1" applyProtection="1">
      <alignment horizontal="left" wrapText="1" readingOrder="1"/>
      <protection locked="0"/>
    </xf>
    <xf numFmtId="169" fontId="14" fillId="10" borderId="17" xfId="0" applyNumberFormat="1" applyFont="1" applyFill="1" applyBorder="1" applyAlignment="1" applyProtection="1">
      <alignment horizontal="left" wrapText="1" readingOrder="1"/>
      <protection locked="0"/>
    </xf>
    <xf numFmtId="0" fontId="11" fillId="10" borderId="0" xfId="0" applyFont="1" applyFill="1" applyProtection="1">
      <protection locked="0"/>
    </xf>
    <xf numFmtId="168" fontId="16" fillId="10" borderId="17" xfId="1" applyNumberFormat="1" applyFont="1" applyFill="1" applyBorder="1" applyAlignment="1">
      <alignment horizontal="left" wrapText="1" readingOrder="1"/>
    </xf>
    <xf numFmtId="169" fontId="16" fillId="10" borderId="17" xfId="0" applyNumberFormat="1" applyFont="1" applyFill="1" applyBorder="1" applyAlignment="1">
      <alignment horizontal="left" wrapText="1" readingOrder="1"/>
    </xf>
    <xf numFmtId="9" fontId="16" fillId="10" borderId="17" xfId="3" applyFont="1" applyFill="1" applyBorder="1" applyAlignment="1">
      <alignment horizontal="right" wrapText="1" readingOrder="1"/>
    </xf>
    <xf numFmtId="170" fontId="16" fillId="10" borderId="17" xfId="0" applyNumberFormat="1" applyFont="1" applyFill="1" applyBorder="1" applyAlignment="1">
      <alignment horizontal="left" wrapText="1" readingOrder="1"/>
    </xf>
    <xf numFmtId="170" fontId="16" fillId="10" borderId="17" xfId="0" applyNumberFormat="1" applyFont="1" applyFill="1" applyBorder="1" applyAlignment="1" applyProtection="1">
      <alignment horizontal="left" wrapText="1" readingOrder="1"/>
      <protection locked="0"/>
    </xf>
    <xf numFmtId="169" fontId="16" fillId="10" borderId="17" xfId="0" applyNumberFormat="1" applyFont="1" applyFill="1" applyBorder="1" applyAlignment="1" applyProtection="1">
      <alignment horizontal="left" wrapText="1" readingOrder="1"/>
      <protection locked="0"/>
    </xf>
    <xf numFmtId="0" fontId="9" fillId="10" borderId="0" xfId="0" applyFont="1" applyFill="1" applyProtection="1">
      <protection locked="0"/>
    </xf>
    <xf numFmtId="164" fontId="14" fillId="10" borderId="17" xfId="1" applyNumberFormat="1" applyFont="1" applyFill="1" applyBorder="1" applyAlignment="1">
      <alignment horizontal="left" wrapText="1" readingOrder="1"/>
    </xf>
    <xf numFmtId="164" fontId="14" fillId="10" borderId="17" xfId="0" applyNumberFormat="1" applyFont="1" applyFill="1" applyBorder="1" applyAlignment="1">
      <alignment horizontal="left" wrapText="1" readingOrder="1"/>
    </xf>
    <xf numFmtId="164" fontId="14" fillId="10" borderId="17" xfId="0" applyNumberFormat="1" applyFont="1" applyFill="1" applyBorder="1" applyAlignment="1" applyProtection="1">
      <alignment horizontal="left" wrapText="1" readingOrder="1"/>
      <protection locked="0"/>
    </xf>
    <xf numFmtId="1" fontId="14" fillId="10" borderId="17" xfId="0" applyNumberFormat="1" applyFont="1" applyFill="1" applyBorder="1" applyAlignment="1">
      <alignment horizontal="right" wrapText="1" readingOrder="1"/>
    </xf>
    <xf numFmtId="1" fontId="15" fillId="10" borderId="17" xfId="0" applyNumberFormat="1" applyFont="1" applyFill="1" applyBorder="1" applyAlignment="1">
      <alignment horizontal="right" wrapText="1" readingOrder="1"/>
    </xf>
    <xf numFmtId="1" fontId="15" fillId="10" borderId="17" xfId="0" applyNumberFormat="1" applyFont="1" applyFill="1" applyBorder="1" applyAlignment="1" applyProtection="1">
      <alignment horizontal="right" wrapText="1" readingOrder="1"/>
      <protection locked="0"/>
    </xf>
    <xf numFmtId="168" fontId="14" fillId="10" borderId="17" xfId="1" applyNumberFormat="1" applyFont="1" applyFill="1" applyBorder="1" applyAlignment="1" applyProtection="1">
      <alignment horizontal="right" wrapText="1" readingOrder="1"/>
      <protection locked="0"/>
    </xf>
    <xf numFmtId="1" fontId="16" fillId="10" borderId="17" xfId="0" applyNumberFormat="1" applyFont="1" applyFill="1" applyBorder="1" applyAlignment="1">
      <alignment horizontal="right" wrapText="1" readingOrder="1"/>
    </xf>
    <xf numFmtId="1" fontId="17" fillId="10" borderId="17" xfId="0" applyNumberFormat="1" applyFont="1" applyFill="1" applyBorder="1" applyAlignment="1">
      <alignment horizontal="right" wrapText="1" readingOrder="1"/>
    </xf>
    <xf numFmtId="1" fontId="17" fillId="10" borderId="17" xfId="0" applyNumberFormat="1" applyFont="1" applyFill="1" applyBorder="1" applyAlignment="1" applyProtection="1">
      <alignment horizontal="right" wrapText="1" readingOrder="1"/>
      <protection locked="0"/>
    </xf>
    <xf numFmtId="0" fontId="13" fillId="4" borderId="0" xfId="0" applyFont="1" applyFill="1" applyAlignment="1">
      <alignment horizontal="left" wrapText="1" readingOrder="1"/>
    </xf>
    <xf numFmtId="0" fontId="2" fillId="13" borderId="0" xfId="0" applyFont="1" applyFill="1"/>
    <xf numFmtId="0" fontId="10" fillId="16" borderId="16" xfId="0" applyFont="1" applyFill="1" applyBorder="1" applyAlignment="1">
      <alignment horizontal="left" vertical="center" wrapText="1" readingOrder="1"/>
    </xf>
    <xf numFmtId="0" fontId="10" fillId="16" borderId="23" xfId="0" applyFont="1" applyFill="1" applyBorder="1" applyAlignment="1" applyProtection="1">
      <alignment vertical="center" wrapText="1" readingOrder="1"/>
      <protection locked="0"/>
    </xf>
    <xf numFmtId="0" fontId="32" fillId="15" borderId="16" xfId="0" applyFont="1" applyFill="1" applyBorder="1" applyAlignment="1">
      <alignment horizontal="center" vertical="center" wrapText="1" readingOrder="1"/>
    </xf>
    <xf numFmtId="0" fontId="32" fillId="15" borderId="21" xfId="0" applyFont="1" applyFill="1" applyBorder="1" applyAlignment="1">
      <alignment horizontal="center" vertical="center" wrapText="1" readingOrder="1"/>
    </xf>
    <xf numFmtId="0" fontId="32" fillId="15" borderId="15" xfId="0" applyFont="1" applyFill="1" applyBorder="1" applyAlignment="1">
      <alignment horizontal="center" vertical="center" wrapText="1" readingOrder="1"/>
    </xf>
    <xf numFmtId="0" fontId="32" fillId="15" borderId="16" xfId="0" applyFont="1" applyFill="1" applyBorder="1" applyAlignment="1" applyProtection="1">
      <alignment horizontal="center" vertical="center" wrapText="1" readingOrder="1"/>
      <protection locked="0"/>
    </xf>
    <xf numFmtId="0" fontId="32" fillId="15" borderId="21" xfId="0" applyFont="1" applyFill="1" applyBorder="1" applyAlignment="1" applyProtection="1">
      <alignment horizontal="center" vertical="center" wrapText="1" readingOrder="1"/>
      <protection locked="0"/>
    </xf>
    <xf numFmtId="0" fontId="9" fillId="4" borderId="0" xfId="0" applyFont="1" applyFill="1" applyAlignment="1" applyProtection="1">
      <alignment horizontal="right"/>
      <protection locked="0"/>
    </xf>
    <xf numFmtId="0" fontId="25" fillId="14" borderId="0" xfId="4" applyFont="1" applyFill="1"/>
    <xf numFmtId="0" fontId="25" fillId="14" borderId="0" xfId="4" applyFont="1" applyFill="1" applyAlignment="1">
      <alignment horizontal="center"/>
    </xf>
    <xf numFmtId="166" fontId="27" fillId="2" borderId="1" xfId="4" applyNumberFormat="1" applyFont="1" applyFill="1" applyBorder="1"/>
    <xf numFmtId="0" fontId="27" fillId="13" borderId="2" xfId="4" applyFont="1" applyFill="1" applyBorder="1"/>
    <xf numFmtId="166" fontId="27" fillId="2" borderId="1" xfId="4" applyNumberFormat="1" applyFont="1" applyFill="1" applyBorder="1" applyAlignment="1">
      <alignment horizontal="right" indent="1"/>
    </xf>
    <xf numFmtId="166" fontId="27" fillId="13" borderId="2" xfId="4" applyNumberFormat="1" applyFont="1" applyFill="1" applyBorder="1" applyAlignment="1">
      <alignment horizontal="right" indent="1"/>
    </xf>
    <xf numFmtId="0" fontId="35" fillId="10" borderId="24" xfId="0" applyFont="1" applyFill="1" applyBorder="1" applyAlignment="1">
      <alignment horizontal="left" wrapText="1" readingOrder="1"/>
    </xf>
    <xf numFmtId="0" fontId="36" fillId="4" borderId="0" xfId="0" applyFont="1" applyFill="1"/>
    <xf numFmtId="0" fontId="37" fillId="4" borderId="11" xfId="0" applyFont="1" applyFill="1" applyBorder="1"/>
    <xf numFmtId="0" fontId="38" fillId="4" borderId="0" xfId="0" applyFont="1" applyFill="1" applyBorder="1"/>
    <xf numFmtId="17" fontId="37" fillId="4" borderId="0" xfId="0" applyNumberFormat="1" applyFont="1" applyFill="1" applyBorder="1"/>
    <xf numFmtId="0" fontId="26" fillId="4" borderId="0" xfId="0" applyFont="1" applyFill="1"/>
    <xf numFmtId="0" fontId="40" fillId="4" borderId="0" xfId="0" applyFont="1" applyFill="1" applyBorder="1"/>
    <xf numFmtId="17" fontId="39" fillId="4" borderId="0" xfId="0" applyNumberFormat="1" applyFont="1" applyFill="1" applyBorder="1"/>
    <xf numFmtId="0" fontId="26" fillId="0" borderId="0" xfId="0" applyFont="1"/>
    <xf numFmtId="0" fontId="26" fillId="0" borderId="11" xfId="0" applyFont="1" applyBorder="1"/>
    <xf numFmtId="0" fontId="26" fillId="0" borderId="0" xfId="0" applyFont="1" applyBorder="1"/>
    <xf numFmtId="0" fontId="27" fillId="7" borderId="6" xfId="0" applyFont="1" applyFill="1" applyBorder="1"/>
    <xf numFmtId="0" fontId="41" fillId="4" borderId="11" xfId="0" applyFont="1" applyFill="1" applyBorder="1"/>
    <xf numFmtId="0" fontId="12" fillId="15" borderId="12" xfId="0" applyFont="1" applyFill="1" applyBorder="1"/>
    <xf numFmtId="0" fontId="12" fillId="15" borderId="4" xfId="0" applyFont="1" applyFill="1" applyBorder="1"/>
    <xf numFmtId="167" fontId="12" fillId="15" borderId="4" xfId="0" applyNumberFormat="1" applyFont="1" applyFill="1" applyBorder="1"/>
    <xf numFmtId="0" fontId="10" fillId="4" borderId="16" xfId="0" applyFont="1" applyFill="1" applyBorder="1" applyAlignment="1" applyProtection="1">
      <alignment horizontal="center" vertical="center" wrapText="1" readingOrder="1"/>
      <protection locked="0"/>
    </xf>
    <xf numFmtId="0" fontId="19" fillId="14" borderId="18" xfId="0" applyFont="1" applyFill="1" applyBorder="1" applyAlignment="1" applyProtection="1">
      <alignment horizontal="left" vertical="center" wrapText="1" readingOrder="1"/>
      <protection locked="0"/>
    </xf>
    <xf numFmtId="0" fontId="42" fillId="14" borderId="9" xfId="0" applyFont="1" applyFill="1" applyBorder="1"/>
    <xf numFmtId="0" fontId="43" fillId="14" borderId="2" xfId="0" applyFont="1" applyFill="1" applyBorder="1"/>
    <xf numFmtId="17" fontId="42" fillId="14" borderId="2" xfId="0" applyNumberFormat="1" applyFont="1" applyFill="1" applyBorder="1"/>
    <xf numFmtId="17" fontId="42" fillId="14" borderId="10" xfId="0" applyNumberFormat="1" applyFont="1" applyFill="1" applyBorder="1"/>
    <xf numFmtId="0" fontId="33" fillId="0" borderId="0" xfId="0" applyFont="1"/>
    <xf numFmtId="0" fontId="39" fillId="7" borderId="10" xfId="0" applyFont="1" applyFill="1" applyBorder="1" applyAlignment="1">
      <alignment horizontal="center"/>
    </xf>
    <xf numFmtId="0" fontId="20" fillId="0" borderId="0" xfId="0" applyFont="1" applyAlignment="1"/>
    <xf numFmtId="0" fontId="32" fillId="18" borderId="16" xfId="0" applyFont="1" applyFill="1" applyBorder="1" applyAlignment="1">
      <alignment horizontal="center" vertical="center" wrapText="1" readingOrder="1"/>
    </xf>
    <xf numFmtId="0" fontId="32" fillId="18" borderId="21" xfId="0" applyFont="1" applyFill="1" applyBorder="1" applyAlignment="1">
      <alignment horizontal="center" vertical="center" wrapText="1" readingOrder="1"/>
    </xf>
    <xf numFmtId="0" fontId="32" fillId="18" borderId="16" xfId="0" applyFont="1" applyFill="1" applyBorder="1" applyAlignment="1" applyProtection="1">
      <alignment horizontal="center" vertical="center" wrapText="1" readingOrder="1"/>
      <protection locked="0"/>
    </xf>
    <xf numFmtId="9" fontId="16" fillId="17" borderId="17" xfId="3" applyFont="1" applyFill="1" applyBorder="1" applyAlignment="1">
      <alignment horizontal="right" wrapText="1" readingOrder="1"/>
    </xf>
    <xf numFmtId="0" fontId="13" fillId="19" borderId="0" xfId="0" applyFont="1" applyFill="1" applyAlignment="1" applyProtection="1">
      <alignment horizontal="left" wrapText="1" readingOrder="1"/>
      <protection locked="0"/>
    </xf>
    <xf numFmtId="9" fontId="0" fillId="0" borderId="0" xfId="3" applyFont="1"/>
    <xf numFmtId="0" fontId="44" fillId="0" borderId="0" xfId="7"/>
    <xf numFmtId="0" fontId="44" fillId="0" borderId="0" xfId="7" applyAlignment="1">
      <alignment vertical="top" wrapText="1"/>
    </xf>
    <xf numFmtId="0" fontId="44" fillId="0" borderId="5" xfId="7" applyBorder="1"/>
    <xf numFmtId="0" fontId="44" fillId="0" borderId="5" xfId="7" applyBorder="1" applyAlignment="1">
      <alignment wrapText="1"/>
    </xf>
    <xf numFmtId="0" fontId="44" fillId="0" borderId="5" xfId="7" applyBorder="1" applyAlignment="1">
      <alignment vertical="top"/>
    </xf>
    <xf numFmtId="0" fontId="44" fillId="0" borderId="5" xfId="7" applyBorder="1" applyAlignment="1">
      <alignment vertical="top" wrapText="1"/>
    </xf>
    <xf numFmtId="0" fontId="44" fillId="0" borderId="5" xfId="7" applyBorder="1" applyAlignment="1">
      <alignment horizontal="left" vertical="top" wrapText="1"/>
    </xf>
    <xf numFmtId="0" fontId="45" fillId="0" borderId="5" xfId="7" applyFont="1" applyBorder="1" applyAlignment="1">
      <alignment horizontal="left"/>
    </xf>
    <xf numFmtId="167" fontId="0" fillId="0" borderId="0" xfId="2" applyNumberFormat="1" applyFont="1"/>
    <xf numFmtId="167" fontId="8" fillId="0" borderId="0" xfId="2" applyNumberFormat="1" applyFont="1"/>
    <xf numFmtId="167" fontId="8" fillId="0" borderId="4" xfId="2" applyNumberFormat="1" applyFont="1" applyBorder="1"/>
    <xf numFmtId="167" fontId="0" fillId="0" borderId="0" xfId="0" applyNumberFormat="1"/>
    <xf numFmtId="0" fontId="42" fillId="20" borderId="9" xfId="0" applyFont="1" applyFill="1" applyBorder="1"/>
    <xf numFmtId="0" fontId="43" fillId="20" borderId="2" xfId="0" applyFont="1" applyFill="1" applyBorder="1"/>
    <xf numFmtId="17" fontId="42" fillId="20" borderId="2" xfId="0" applyNumberFormat="1" applyFont="1" applyFill="1" applyBorder="1"/>
    <xf numFmtId="17" fontId="42" fillId="20" borderId="10" xfId="0" applyNumberFormat="1" applyFont="1" applyFill="1" applyBorder="1"/>
    <xf numFmtId="0" fontId="21" fillId="0" borderId="11" xfId="0" applyFont="1" applyBorder="1"/>
    <xf numFmtId="0" fontId="0" fillId="0" borderId="0" xfId="0" quotePrefix="1"/>
    <xf numFmtId="0" fontId="45" fillId="21" borderId="0" xfId="0" applyFont="1" applyFill="1" applyAlignment="1">
      <alignment wrapText="1"/>
    </xf>
    <xf numFmtId="0" fontId="45" fillId="21" borderId="0" xfId="0" applyFont="1" applyFill="1" applyAlignment="1">
      <alignment horizontal="center" wrapText="1"/>
    </xf>
    <xf numFmtId="0" fontId="8" fillId="0" borderId="5" xfId="0" applyFont="1" applyBorder="1"/>
    <xf numFmtId="0" fontId="3" fillId="0" borderId="0" xfId="4"/>
    <xf numFmtId="0" fontId="46" fillId="22" borderId="0" xfId="4" applyFont="1" applyFill="1" applyAlignment="1">
      <alignment vertical="center"/>
    </xf>
    <xf numFmtId="0" fontId="47" fillId="0" borderId="32" xfId="4" applyFont="1" applyBorder="1"/>
    <xf numFmtId="15" fontId="47" fillId="23" borderId="32" xfId="4" applyNumberFormat="1" applyFont="1" applyFill="1" applyBorder="1" applyAlignment="1">
      <alignment horizontal="center"/>
    </xf>
    <xf numFmtId="15" fontId="47" fillId="0" borderId="32" xfId="4" applyNumberFormat="1" applyFont="1" applyBorder="1" applyAlignment="1">
      <alignment horizontal="center"/>
    </xf>
    <xf numFmtId="0" fontId="3" fillId="0" borderId="0" xfId="4" applyAlignment="1">
      <alignment horizontal="center"/>
    </xf>
    <xf numFmtId="0" fontId="3" fillId="0" borderId="32" xfId="4" applyBorder="1" applyAlignment="1">
      <alignment horizontal="left" indent="1"/>
    </xf>
    <xf numFmtId="171" fontId="3" fillId="23" borderId="32" xfId="8" applyNumberFormat="1" applyFont="1" applyFill="1" applyBorder="1" applyAlignment="1">
      <alignment horizontal="center"/>
    </xf>
    <xf numFmtId="171" fontId="3" fillId="4" borderId="32" xfId="8" applyNumberFormat="1" applyFont="1" applyFill="1" applyBorder="1" applyAlignment="1">
      <alignment horizontal="center"/>
    </xf>
    <xf numFmtId="171" fontId="47" fillId="23" borderId="32" xfId="8" applyNumberFormat="1" applyFont="1" applyFill="1" applyBorder="1" applyAlignment="1">
      <alignment horizontal="center"/>
    </xf>
    <xf numFmtId="171" fontId="47" fillId="4" borderId="32" xfId="8" applyNumberFormat="1" applyFont="1" applyFill="1" applyBorder="1" applyAlignment="1">
      <alignment horizontal="center"/>
    </xf>
    <xf numFmtId="0" fontId="3" fillId="0" borderId="32" xfId="4" applyBorder="1"/>
    <xf numFmtId="0" fontId="47" fillId="0" borderId="32" xfId="4" applyFont="1" applyBorder="1" applyAlignment="1">
      <alignment horizontal="left"/>
    </xf>
    <xf numFmtId="37" fontId="0" fillId="23" borderId="32" xfId="8" applyNumberFormat="1" applyFont="1" applyFill="1" applyBorder="1" applyAlignment="1">
      <alignment horizontal="center"/>
    </xf>
    <xf numFmtId="37" fontId="0" fillId="0" borderId="32" xfId="8" applyNumberFormat="1" applyFont="1" applyBorder="1" applyAlignment="1">
      <alignment horizontal="center"/>
    </xf>
    <xf numFmtId="37" fontId="3" fillId="0" borderId="0" xfId="4" applyNumberFormat="1" applyAlignment="1">
      <alignment horizontal="center"/>
    </xf>
    <xf numFmtId="0" fontId="3" fillId="0" borderId="32" xfId="4" applyBorder="1" applyAlignment="1">
      <alignment horizontal="left"/>
    </xf>
    <xf numFmtId="0" fontId="49" fillId="0" borderId="32" xfId="4" applyFont="1" applyBorder="1"/>
    <xf numFmtId="37" fontId="49" fillId="23" borderId="32" xfId="8" applyNumberFormat="1" applyFont="1" applyFill="1" applyBorder="1" applyAlignment="1">
      <alignment horizontal="center"/>
    </xf>
    <xf numFmtId="37" fontId="49" fillId="0" borderId="32" xfId="8" applyNumberFormat="1" applyFont="1" applyBorder="1" applyAlignment="1">
      <alignment horizontal="center"/>
    </xf>
    <xf numFmtId="37" fontId="47" fillId="23" borderId="32" xfId="8" applyNumberFormat="1" applyFont="1" applyFill="1" applyBorder="1" applyAlignment="1">
      <alignment horizontal="center"/>
    </xf>
    <xf numFmtId="37" fontId="47" fillId="0" borderId="32" xfId="8" applyNumberFormat="1" applyFont="1" applyBorder="1" applyAlignment="1">
      <alignment horizontal="center"/>
    </xf>
    <xf numFmtId="0" fontId="48" fillId="0" borderId="0" xfId="4" applyFont="1"/>
    <xf numFmtId="0" fontId="49" fillId="0" borderId="0" xfId="4" applyFont="1"/>
    <xf numFmtId="0" fontId="11" fillId="10" borderId="0" xfId="0" quotePrefix="1" applyFont="1" applyFill="1" applyProtection="1">
      <protection locked="0"/>
    </xf>
    <xf numFmtId="0" fontId="9" fillId="10" borderId="0" xfId="0" quotePrefix="1" applyFont="1" applyFill="1" applyProtection="1">
      <protection locked="0"/>
    </xf>
    <xf numFmtId="0" fontId="26" fillId="4" borderId="0" xfId="0" quotePrefix="1" applyFont="1" applyFill="1"/>
    <xf numFmtId="164" fontId="16" fillId="10" borderId="17" xfId="1" applyNumberFormat="1" applyFont="1" applyFill="1" applyBorder="1" applyAlignment="1">
      <alignment horizontal="left" wrapText="1" readingOrder="1"/>
    </xf>
    <xf numFmtId="0" fontId="52" fillId="24" borderId="3" xfId="4" applyFont="1" applyFill="1" applyBorder="1" applyAlignment="1">
      <alignment horizontal="right"/>
    </xf>
    <xf numFmtId="0" fontId="53" fillId="24" borderId="3" xfId="4" applyFont="1" applyFill="1" applyBorder="1" applyAlignment="1">
      <alignment horizontal="right"/>
    </xf>
    <xf numFmtId="0" fontId="53" fillId="24" borderId="0" xfId="4" applyFont="1" applyFill="1" applyAlignment="1">
      <alignment horizontal="right"/>
    </xf>
    <xf numFmtId="0" fontId="47" fillId="0" borderId="0" xfId="4" applyFont="1"/>
    <xf numFmtId="41" fontId="3" fillId="0" borderId="0" xfId="4" applyNumberFormat="1"/>
    <xf numFmtId="0" fontId="3" fillId="0" borderId="0" xfId="4" applyAlignment="1">
      <alignment horizontal="left" indent="1"/>
    </xf>
    <xf numFmtId="41" fontId="3" fillId="0" borderId="4" xfId="4" applyNumberFormat="1" applyBorder="1"/>
    <xf numFmtId="41" fontId="3" fillId="25" borderId="0" xfId="4" applyNumberFormat="1" applyFill="1"/>
    <xf numFmtId="41" fontId="3" fillId="6" borderId="0" xfId="4" applyNumberFormat="1" applyFill="1"/>
    <xf numFmtId="0" fontId="3" fillId="24" borderId="0" xfId="4" applyFill="1"/>
    <xf numFmtId="0" fontId="54" fillId="24" borderId="0" xfId="4" applyFont="1" applyFill="1" applyAlignment="1">
      <alignment horizontal="left"/>
    </xf>
    <xf numFmtId="0" fontId="47" fillId="24" borderId="14" xfId="4" applyFont="1" applyFill="1" applyBorder="1"/>
    <xf numFmtId="0" fontId="52" fillId="24" borderId="0" xfId="4" applyFont="1" applyFill="1" applyAlignment="1">
      <alignment horizontal="left"/>
    </xf>
    <xf numFmtId="0" fontId="3" fillId="24" borderId="0" xfId="4" applyFill="1" applyAlignment="1">
      <alignment horizontal="left"/>
    </xf>
    <xf numFmtId="0" fontId="52" fillId="24" borderId="0" xfId="4" applyFont="1" applyFill="1" applyAlignment="1">
      <alignment horizontal="right"/>
    </xf>
    <xf numFmtId="0" fontId="55" fillId="24" borderId="0" xfId="4" applyFont="1" applyFill="1" applyAlignment="1">
      <alignment horizontal="left"/>
    </xf>
    <xf numFmtId="0" fontId="55" fillId="24" borderId="1" xfId="4" applyFont="1" applyFill="1" applyBorder="1" applyAlignment="1">
      <alignment horizontal="right"/>
    </xf>
    <xf numFmtId="0" fontId="56" fillId="24" borderId="0" xfId="4" applyFont="1" applyFill="1" applyAlignment="1">
      <alignment horizontal="left"/>
    </xf>
    <xf numFmtId="172" fontId="52" fillId="24" borderId="0" xfId="4" applyNumberFormat="1" applyFont="1" applyFill="1" applyAlignment="1">
      <alignment horizontal="right"/>
    </xf>
    <xf numFmtId="172" fontId="56" fillId="24" borderId="0" xfId="4" applyNumberFormat="1" applyFont="1" applyFill="1" applyAlignment="1">
      <alignment horizontal="right"/>
    </xf>
    <xf numFmtId="172" fontId="52" fillId="24" borderId="1" xfId="4" applyNumberFormat="1" applyFont="1" applyFill="1" applyBorder="1" applyAlignment="1">
      <alignment horizontal="right"/>
    </xf>
    <xf numFmtId="172" fontId="56" fillId="24" borderId="1" xfId="4" applyNumberFormat="1" applyFont="1" applyFill="1" applyBorder="1" applyAlignment="1">
      <alignment horizontal="right"/>
    </xf>
    <xf numFmtId="172" fontId="52" fillId="24" borderId="2" xfId="4" applyNumberFormat="1" applyFont="1" applyFill="1" applyBorder="1" applyAlignment="1">
      <alignment horizontal="right"/>
    </xf>
    <xf numFmtId="172" fontId="56" fillId="24" borderId="2" xfId="4" applyNumberFormat="1" applyFont="1" applyFill="1" applyBorder="1" applyAlignment="1">
      <alignment horizontal="right"/>
    </xf>
    <xf numFmtId="0" fontId="56" fillId="24" borderId="1" xfId="4" applyFont="1" applyFill="1" applyBorder="1" applyAlignment="1">
      <alignment horizontal="left"/>
    </xf>
    <xf numFmtId="0" fontId="52" fillId="24" borderId="0" xfId="4" applyFont="1" applyFill="1"/>
    <xf numFmtId="0" fontId="56" fillId="24" borderId="0" xfId="4" applyFont="1" applyFill="1"/>
    <xf numFmtId="173" fontId="56" fillId="24" borderId="33" xfId="4" applyNumberFormat="1" applyFont="1" applyFill="1" applyBorder="1" applyAlignment="1">
      <alignment horizontal="right"/>
    </xf>
    <xf numFmtId="0" fontId="47" fillId="24" borderId="0" xfId="4" applyFont="1" applyFill="1"/>
    <xf numFmtId="0" fontId="52" fillId="24" borderId="1" xfId="4" applyFont="1" applyFill="1" applyBorder="1" applyAlignment="1">
      <alignment horizontal="left"/>
    </xf>
    <xf numFmtId="172" fontId="52" fillId="24" borderId="3" xfId="4" applyNumberFormat="1" applyFont="1" applyFill="1" applyBorder="1" applyAlignment="1">
      <alignment horizontal="right"/>
    </xf>
    <xf numFmtId="4" fontId="52" fillId="24" borderId="0" xfId="4" applyNumberFormat="1" applyFont="1" applyFill="1" applyAlignment="1">
      <alignment horizontal="left"/>
    </xf>
    <xf numFmtId="43" fontId="52" fillId="24" borderId="0" xfId="4" applyNumberFormat="1" applyFont="1" applyFill="1"/>
    <xf numFmtId="41" fontId="3" fillId="24" borderId="0" xfId="4" applyNumberFormat="1" applyFill="1"/>
    <xf numFmtId="167" fontId="27" fillId="7" borderId="6" xfId="0" applyNumberFormat="1" applyFont="1" applyFill="1" applyBorder="1"/>
    <xf numFmtId="167" fontId="21" fillId="0" borderId="0" xfId="0" applyNumberFormat="1" applyFont="1"/>
    <xf numFmtId="43" fontId="0" fillId="0" borderId="0" xfId="1" applyFont="1"/>
    <xf numFmtId="43" fontId="0" fillId="0" borderId="3" xfId="1" applyFont="1" applyBorder="1"/>
    <xf numFmtId="43" fontId="0" fillId="0" borderId="0" xfId="0" applyNumberFormat="1"/>
    <xf numFmtId="0" fontId="21" fillId="14" borderId="0" xfId="0" applyFont="1" applyFill="1"/>
    <xf numFmtId="0" fontId="20" fillId="0" borderId="0" xfId="0" applyFont="1"/>
    <xf numFmtId="167" fontId="21" fillId="0" borderId="0" xfId="2" applyNumberFormat="1" applyFont="1" applyBorder="1" applyAlignment="1">
      <alignment horizontal="right"/>
    </xf>
    <xf numFmtId="0" fontId="21" fillId="0" borderId="0" xfId="0" applyFont="1" applyAlignment="1">
      <alignment horizontal="center"/>
    </xf>
    <xf numFmtId="17" fontId="42" fillId="14" borderId="2" xfId="0" applyNumberFormat="1" applyFont="1" applyFill="1" applyBorder="1" applyAlignment="1">
      <alignment horizontal="center"/>
    </xf>
    <xf numFmtId="0" fontId="57" fillId="10" borderId="0" xfId="0" applyFont="1" applyFill="1" applyProtection="1">
      <protection locked="0"/>
    </xf>
    <xf numFmtId="167" fontId="21" fillId="0" borderId="0" xfId="2" applyNumberFormat="1" applyFont="1" applyFill="1" applyBorder="1"/>
    <xf numFmtId="0" fontId="20" fillId="0" borderId="0" xfId="0" applyFont="1" applyAlignment="1">
      <alignment wrapText="1"/>
    </xf>
    <xf numFmtId="167" fontId="21" fillId="0" borderId="0" xfId="2" applyNumberFormat="1" applyFont="1" applyFill="1" applyBorder="1" applyAlignment="1">
      <alignment horizontal="right"/>
    </xf>
    <xf numFmtId="0" fontId="22" fillId="0" borderId="11" xfId="0" applyFont="1" applyFill="1" applyBorder="1"/>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21" fillId="0" borderId="0"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165" fontId="33" fillId="14" borderId="0" xfId="1" applyNumberFormat="1" applyFont="1" applyFill="1" applyAlignment="1">
      <alignment horizontal="center"/>
    </xf>
    <xf numFmtId="0" fontId="34" fillId="4" borderId="0" xfId="0" applyFont="1" applyFill="1" applyAlignment="1" applyProtection="1">
      <alignment horizontal="center"/>
    </xf>
    <xf numFmtId="0" fontId="16" fillId="9" borderId="22" xfId="0" applyFont="1" applyFill="1" applyBorder="1" applyAlignment="1" applyProtection="1">
      <alignment horizontal="left" wrapText="1" readingOrder="1"/>
      <protection locked="0"/>
    </xf>
    <xf numFmtId="0" fontId="16" fillId="9" borderId="23" xfId="0" applyFont="1" applyFill="1" applyBorder="1" applyAlignment="1" applyProtection="1">
      <alignment horizontal="left" wrapText="1" readingOrder="1"/>
      <protection locked="0"/>
    </xf>
    <xf numFmtId="0" fontId="16" fillId="9" borderId="28" xfId="0" applyFont="1" applyFill="1" applyBorder="1" applyAlignment="1" applyProtection="1">
      <alignment horizontal="left" wrapText="1" readingOrder="1"/>
      <protection locked="0"/>
    </xf>
    <xf numFmtId="0" fontId="13" fillId="4" borderId="0" xfId="0" applyFont="1" applyFill="1" applyAlignment="1" applyProtection="1">
      <alignment horizontal="left" vertical="center" wrapText="1" readingOrder="1"/>
      <protection locked="0"/>
    </xf>
    <xf numFmtId="0" fontId="32" fillId="14" borderId="25" xfId="0" applyFont="1" applyFill="1" applyBorder="1" applyAlignment="1" applyProtection="1">
      <alignment horizontal="left" vertical="center" wrapText="1" readingOrder="1"/>
      <protection locked="0"/>
    </xf>
    <xf numFmtId="0" fontId="32" fillId="14" borderId="26" xfId="0" applyFont="1" applyFill="1" applyBorder="1" applyAlignment="1" applyProtection="1">
      <alignment horizontal="left" vertical="center" wrapText="1" readingOrder="1"/>
      <protection locked="0"/>
    </xf>
    <xf numFmtId="0" fontId="32" fillId="14" borderId="27" xfId="0" applyFont="1" applyFill="1" applyBorder="1" applyAlignment="1" applyProtection="1">
      <alignment horizontal="left" vertical="center" wrapText="1" readingOrder="1"/>
      <protection locked="0"/>
    </xf>
    <xf numFmtId="0" fontId="10" fillId="8" borderId="22" xfId="0" applyFont="1" applyFill="1" applyBorder="1" applyAlignment="1" applyProtection="1">
      <alignment horizontal="center" vertical="center" wrapText="1" readingOrder="1"/>
      <protection locked="0"/>
    </xf>
    <xf numFmtId="0" fontId="10" fillId="8" borderId="23" xfId="0" applyFont="1" applyFill="1" applyBorder="1" applyAlignment="1" applyProtection="1">
      <alignment horizontal="center" vertical="center" wrapText="1" readingOrder="1"/>
      <protection locked="0"/>
    </xf>
    <xf numFmtId="0" fontId="12" fillId="14" borderId="18" xfId="0" applyFont="1" applyFill="1" applyBorder="1" applyAlignment="1">
      <alignment horizontal="left" vertical="center" wrapText="1" readingOrder="1"/>
    </xf>
    <xf numFmtId="0" fontId="12" fillId="14" borderId="19" xfId="0" applyFont="1" applyFill="1" applyBorder="1" applyAlignment="1">
      <alignment horizontal="left" vertical="center" wrapText="1" readingOrder="1"/>
    </xf>
    <xf numFmtId="0" fontId="10" fillId="16" borderId="22" xfId="0" applyFont="1" applyFill="1" applyBorder="1" applyAlignment="1">
      <alignment horizontal="center" vertical="center" wrapText="1" readingOrder="1"/>
    </xf>
    <xf numFmtId="0" fontId="10" fillId="16" borderId="23" xfId="0" applyFont="1" applyFill="1" applyBorder="1" applyAlignment="1">
      <alignment horizontal="center" vertical="center" wrapText="1" readingOrder="1"/>
    </xf>
    <xf numFmtId="0" fontId="10" fillId="12" borderId="22" xfId="0" applyFont="1" applyFill="1" applyBorder="1" applyAlignment="1">
      <alignment horizontal="center" vertical="center" wrapText="1" readingOrder="1"/>
    </xf>
    <xf numFmtId="0" fontId="10" fillId="12" borderId="23" xfId="0" applyFont="1" applyFill="1" applyBorder="1" applyAlignment="1">
      <alignment horizontal="center" vertical="center" wrapText="1" readingOrder="1"/>
    </xf>
    <xf numFmtId="0" fontId="0" fillId="0" borderId="0" xfId="0" applyFont="1" applyAlignment="1">
      <alignment horizontal="center"/>
    </xf>
    <xf numFmtId="0" fontId="31" fillId="0" borderId="29" xfId="0" applyFont="1" applyBorder="1" applyAlignment="1">
      <alignment horizontal="center"/>
    </xf>
    <xf numFmtId="0" fontId="31" fillId="0" borderId="30" xfId="0" applyFont="1" applyBorder="1" applyAlignment="1">
      <alignment horizontal="center"/>
    </xf>
    <xf numFmtId="0" fontId="31" fillId="0" borderId="31" xfId="0" applyFont="1" applyBorder="1" applyAlignment="1">
      <alignment horizontal="center"/>
    </xf>
  </cellXfs>
  <cellStyles count="9">
    <cellStyle name="Comma" xfId="1" builtinId="3"/>
    <cellStyle name="Currency" xfId="2" builtinId="4"/>
    <cellStyle name="Currency 2" xfId="8" xr:uid="{1DFFC6F0-9EB9-471F-9DFA-72EFE79D270E}"/>
    <cellStyle name="Normal" xfId="0" builtinId="0"/>
    <cellStyle name="Normal 140 19" xfId="6" xr:uid="{F0F165FC-B672-498B-85DC-A941AA5E4E7E}"/>
    <cellStyle name="Normal 159" xfId="5" xr:uid="{37AD7E81-6454-4392-A09C-292FC55979E3}"/>
    <cellStyle name="Normal 2" xfId="7" xr:uid="{5ACAD5F8-0E95-4118-B382-0D038117174B}"/>
    <cellStyle name="Normal 27" xfId="4" xr:uid="{A96E3208-E925-4CDC-BA93-6128AE763D51}"/>
    <cellStyle name="Percent" xfId="3" builtinId="5"/>
  </cellStyles>
  <dxfs count="52">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92D050"/>
        </patternFill>
      </fill>
    </dxf>
    <dxf>
      <fill>
        <patternFill>
          <bgColor rgb="FFFF0000"/>
        </patternFill>
      </fill>
    </dxf>
    <dxf>
      <fill>
        <patternFill>
          <bgColor rgb="FFFFFF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s>
  <tableStyles count="0" defaultTableStyle="TableStyleMedium2" defaultPivotStyle="PivotStyleLight16"/>
  <colors>
    <mruColors>
      <color rgb="FFF3F3F4"/>
      <color rgb="FF00590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1905</xdr:colOff>
      <xdr:row>3</xdr:row>
      <xdr:rowOff>0</xdr:rowOff>
    </xdr:from>
    <xdr:to>
      <xdr:col>12</xdr:col>
      <xdr:colOff>134620</xdr:colOff>
      <xdr:row>48</xdr:row>
      <xdr:rowOff>8890</xdr:rowOff>
    </xdr:to>
    <xdr:sp macro="" textlink="">
      <xdr:nvSpPr>
        <xdr:cNvPr id="4" name="Rectangle 3">
          <a:extLst>
            <a:ext uri="{FF2B5EF4-FFF2-40B4-BE49-F238E27FC236}">
              <a16:creationId xmlns:a16="http://schemas.microsoft.com/office/drawing/2014/main" id="{ACB69FE5-CE55-4771-892C-2284CE67847A}"/>
            </a:ext>
          </a:extLst>
        </xdr:cNvPr>
        <xdr:cNvSpPr/>
      </xdr:nvSpPr>
      <xdr:spPr>
        <a:xfrm>
          <a:off x="4573905" y="628650"/>
          <a:ext cx="7752715" cy="1005776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759460</xdr:colOff>
      <xdr:row>14</xdr:row>
      <xdr:rowOff>200025</xdr:rowOff>
    </xdr:from>
    <xdr:to>
      <xdr:col>12</xdr:col>
      <xdr:colOff>133350</xdr:colOff>
      <xdr:row>40</xdr:row>
      <xdr:rowOff>38100</xdr:rowOff>
    </xdr:to>
    <xdr:pic>
      <xdr:nvPicPr>
        <xdr:cNvPr id="10" name="Picture 9">
          <a:extLst>
            <a:ext uri="{FF2B5EF4-FFF2-40B4-BE49-F238E27FC236}">
              <a16:creationId xmlns:a16="http://schemas.microsoft.com/office/drawing/2014/main" id="{73D1D176-7CDA-49CE-A6A6-DA234356137A}"/>
            </a:ext>
          </a:extLst>
        </xdr:cNvPr>
        <xdr:cNvPicPr/>
      </xdr:nvPicPr>
      <xdr:blipFill rotWithShape="1">
        <a:blip xmlns:r="http://schemas.openxmlformats.org/officeDocument/2006/relationships" r:embed="rId1">
          <a:alphaModFix amt="31000"/>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0385" t="22646" r="10385" b="23180"/>
        <a:stretch/>
      </xdr:blipFill>
      <xdr:spPr bwMode="auto">
        <a:xfrm>
          <a:off x="1521460" y="3752850"/>
          <a:ext cx="7755890" cy="5286375"/>
        </a:xfrm>
        <a:prstGeom prst="rect">
          <a:avLst/>
        </a:prstGeom>
        <a:noFill/>
        <a:ln>
          <a:noFill/>
        </a:ln>
      </xdr:spPr>
    </xdr:pic>
    <xdr:clientData/>
  </xdr:twoCellAnchor>
  <xdr:twoCellAnchor>
    <xdr:from>
      <xdr:col>5</xdr:col>
      <xdr:colOff>532765</xdr:colOff>
      <xdr:row>5</xdr:row>
      <xdr:rowOff>97155</xdr:rowOff>
    </xdr:from>
    <xdr:to>
      <xdr:col>11</xdr:col>
      <xdr:colOff>432435</xdr:colOff>
      <xdr:row>16</xdr:row>
      <xdr:rowOff>175895</xdr:rowOff>
    </xdr:to>
    <xdr:sp macro="" textlink="">
      <xdr:nvSpPr>
        <xdr:cNvPr id="6" name="Text Box 2">
          <a:extLst>
            <a:ext uri="{FF2B5EF4-FFF2-40B4-BE49-F238E27FC236}">
              <a16:creationId xmlns:a16="http://schemas.microsoft.com/office/drawing/2014/main" id="{97654D57-8E60-412E-88B5-0579C8298EC7}"/>
            </a:ext>
          </a:extLst>
        </xdr:cNvPr>
        <xdr:cNvSpPr txBox="1">
          <a:spLocks noChangeArrowheads="1"/>
        </xdr:cNvSpPr>
      </xdr:nvSpPr>
      <xdr:spPr bwMode="auto">
        <a:xfrm>
          <a:off x="7390765" y="1592580"/>
          <a:ext cx="4471670" cy="2555240"/>
        </a:xfrm>
        <a:prstGeom prst="rect">
          <a:avLst/>
        </a:prstGeom>
        <a:noFill/>
        <a:ln w="9525">
          <a:noFill/>
          <a:miter lim="800000"/>
          <a:headEnd/>
          <a:tailEnd/>
        </a:ln>
      </xdr:spPr>
      <xdr:txBody>
        <a:bodyPr rot="0" vert="horz" wrap="square" lIns="91440" tIns="45720" rIns="91440" bIns="45720" anchor="b" anchorCtr="0">
          <a:noAutofit/>
        </a:bodyPr>
        <a:lstStyle/>
        <a:p>
          <a:pPr>
            <a:spcAft>
              <a:spcPts val="0"/>
            </a:spcAft>
          </a:pPr>
          <a:r>
            <a:rPr lang="en-US" sz="3000" kern="1400" spc="-50">
              <a:solidFill>
                <a:srgbClr val="33FF99"/>
              </a:solidFill>
              <a:effectLst/>
              <a:latin typeface="Merriweather BOLD" panose="00000800000000000000" pitchFamily="2" charset="0"/>
              <a:ea typeface="Times New Roman" panose="02020603050405020304" pitchFamily="18" charset="0"/>
              <a:cs typeface="Times New Roman" panose="02020603050405020304" pitchFamily="18" charset="0"/>
            </a:rPr>
            <a:t>2021 Budget</a:t>
          </a:r>
          <a:r>
            <a:rPr lang="en-US" sz="3000" kern="1400" spc="-50" baseline="0">
              <a:solidFill>
                <a:srgbClr val="33FF99"/>
              </a:solidFill>
              <a:effectLst/>
              <a:latin typeface="Merriweather BOLD" panose="00000800000000000000" pitchFamily="2" charset="0"/>
              <a:ea typeface="Times New Roman" panose="02020603050405020304" pitchFamily="18" charset="0"/>
              <a:cs typeface="Times New Roman" panose="02020603050405020304" pitchFamily="18" charset="0"/>
            </a:rPr>
            <a:t> </a:t>
          </a:r>
          <a:endParaRPr lang="en-US" sz="30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621030</xdr:colOff>
      <xdr:row>17</xdr:row>
      <xdr:rowOff>4445</xdr:rowOff>
    </xdr:from>
    <xdr:to>
      <xdr:col>12</xdr:col>
      <xdr:colOff>259715</xdr:colOff>
      <xdr:row>17</xdr:row>
      <xdr:rowOff>4445</xdr:rowOff>
    </xdr:to>
    <xdr:cxnSp macro="">
      <xdr:nvCxnSpPr>
        <xdr:cNvPr id="7" name="Straight Connector 6">
          <a:extLst>
            <a:ext uri="{FF2B5EF4-FFF2-40B4-BE49-F238E27FC236}">
              <a16:creationId xmlns:a16="http://schemas.microsoft.com/office/drawing/2014/main" id="{D3A03CDE-25A2-4A7F-A602-DE212EFA1B22}"/>
            </a:ext>
          </a:extLst>
        </xdr:cNvPr>
        <xdr:cNvCxnSpPr/>
      </xdr:nvCxnSpPr>
      <xdr:spPr>
        <a:xfrm>
          <a:off x="7479030" y="4185920"/>
          <a:ext cx="497268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534035</xdr:colOff>
      <xdr:row>17</xdr:row>
      <xdr:rowOff>116205</xdr:rowOff>
    </xdr:from>
    <xdr:to>
      <xdr:col>11</xdr:col>
      <xdr:colOff>433705</xdr:colOff>
      <xdr:row>22</xdr:row>
      <xdr:rowOff>170180</xdr:rowOff>
    </xdr:to>
    <xdr:sp macro="" textlink="">
      <xdr:nvSpPr>
        <xdr:cNvPr id="8" name="Text Box 2">
          <a:extLst>
            <a:ext uri="{FF2B5EF4-FFF2-40B4-BE49-F238E27FC236}">
              <a16:creationId xmlns:a16="http://schemas.microsoft.com/office/drawing/2014/main" id="{273C13B1-6680-476E-AAEA-1C6FE0B7B496}"/>
            </a:ext>
          </a:extLst>
        </xdr:cNvPr>
        <xdr:cNvSpPr txBox="1">
          <a:spLocks noChangeArrowheads="1"/>
        </xdr:cNvSpPr>
      </xdr:nvSpPr>
      <xdr:spPr bwMode="auto">
        <a:xfrm>
          <a:off x="7392035" y="4297680"/>
          <a:ext cx="4471670" cy="1101725"/>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en-US" sz="1600" kern="1400" spc="-50">
              <a:solidFill>
                <a:srgbClr val="FFFFFF"/>
              </a:solidFill>
              <a:effectLst/>
              <a:latin typeface="Open Sans" panose="020B0606030504020204" pitchFamily="34" charset="0"/>
              <a:ea typeface="Times New Roman" panose="02020603050405020304" pitchFamily="18" charset="0"/>
              <a:cs typeface="Times New Roman" panose="02020603050405020304" pitchFamily="18" charset="0"/>
            </a:rPr>
            <a:t>February 22,</a:t>
          </a:r>
          <a:r>
            <a:rPr lang="en-US" sz="1600" kern="1400" spc="-50" baseline="0">
              <a:solidFill>
                <a:srgbClr val="FFFFFF"/>
              </a:solidFill>
              <a:effectLst/>
              <a:latin typeface="Open Sans" panose="020B0606030504020204" pitchFamily="34" charset="0"/>
              <a:ea typeface="Times New Roman" panose="02020603050405020304" pitchFamily="18" charset="0"/>
              <a:cs typeface="Times New Roman" panose="02020603050405020304" pitchFamily="18" charset="0"/>
            </a:rPr>
            <a:t> 2021</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5</xdr:col>
      <xdr:colOff>220345</xdr:colOff>
      <xdr:row>4</xdr:row>
      <xdr:rowOff>3175</xdr:rowOff>
    </xdr:from>
    <xdr:to>
      <xdr:col>11</xdr:col>
      <xdr:colOff>708660</xdr:colOff>
      <xdr:row>9</xdr:row>
      <xdr:rowOff>64770</xdr:rowOff>
    </xdr:to>
    <xdr:sp macro="" textlink="">
      <xdr:nvSpPr>
        <xdr:cNvPr id="9" name="Text Box 2">
          <a:extLst>
            <a:ext uri="{FF2B5EF4-FFF2-40B4-BE49-F238E27FC236}">
              <a16:creationId xmlns:a16="http://schemas.microsoft.com/office/drawing/2014/main" id="{CE129ACD-7952-426B-8AD5-3F4A6050714B}"/>
            </a:ext>
          </a:extLst>
        </xdr:cNvPr>
        <xdr:cNvSpPr txBox="1">
          <a:spLocks noChangeArrowheads="1"/>
        </xdr:cNvSpPr>
      </xdr:nvSpPr>
      <xdr:spPr bwMode="auto">
        <a:xfrm>
          <a:off x="7078345" y="841375"/>
          <a:ext cx="5060315" cy="1728470"/>
        </a:xfrm>
        <a:prstGeom prst="rect">
          <a:avLst/>
        </a:prstGeom>
        <a:noFill/>
        <a:ln w="9525">
          <a:noFill/>
          <a:miter lim="800000"/>
          <a:headEnd/>
          <a:tailEnd/>
        </a:ln>
      </xdr:spPr>
      <xdr:txBody>
        <a:bodyPr rot="0" vert="horz" wrap="square" lIns="91440" tIns="45720" rIns="91440" bIns="45720" anchor="ctr" anchorCtr="0">
          <a:noAutofit/>
        </a:bodyPr>
        <a:lstStyle/>
        <a:p>
          <a:pPr algn="r">
            <a:lnSpc>
              <a:spcPct val="80000"/>
            </a:lnSpc>
            <a:spcAft>
              <a:spcPts val="0"/>
            </a:spcAft>
          </a:pPr>
          <a:r>
            <a:rPr lang="en-US" sz="5500" kern="1400" spc="-50">
              <a:solidFill>
                <a:srgbClr val="F3F3F4"/>
              </a:solidFill>
              <a:effectLst/>
              <a:latin typeface="Merriweather BOLD" panose="00000800000000000000" pitchFamily="2" charset="0"/>
              <a:ea typeface="Times New Roman" panose="02020603050405020304" pitchFamily="18" charset="0"/>
              <a:cs typeface="Times New Roman" panose="02020603050405020304" pitchFamily="18" charset="0"/>
            </a:rPr>
            <a:t>ETC Cooperative</a:t>
          </a:r>
          <a:endParaRPr lang="en-US" sz="2800" kern="1400" spc="-50">
            <a:effectLst/>
            <a:latin typeface="Merriweather BOLD" panose="00000800000000000000" pitchFamily="2" charset="0"/>
            <a:ea typeface="Times New Roman" panose="02020603050405020304" pitchFamily="18" charset="0"/>
            <a:cs typeface="Times New Roman" panose="02020603050405020304" pitchFamily="18" charset="0"/>
          </a:endParaRPr>
        </a:p>
      </xdr:txBody>
    </xdr:sp>
    <xdr:clientData/>
  </xdr:twoCellAnchor>
  <xdr:twoCellAnchor>
    <xdr:from>
      <xdr:col>3</xdr:col>
      <xdr:colOff>472440</xdr:colOff>
      <xdr:row>26</xdr:row>
      <xdr:rowOff>78740</xdr:rowOff>
    </xdr:from>
    <xdr:to>
      <xdr:col>10</xdr:col>
      <xdr:colOff>429941</xdr:colOff>
      <xdr:row>40</xdr:row>
      <xdr:rowOff>161324</xdr:rowOff>
    </xdr:to>
    <xdr:grpSp>
      <xdr:nvGrpSpPr>
        <xdr:cNvPr id="11" name="Graphic 23">
          <a:extLst>
            <a:ext uri="{FF2B5EF4-FFF2-40B4-BE49-F238E27FC236}">
              <a16:creationId xmlns:a16="http://schemas.microsoft.com/office/drawing/2014/main" id="{0BC37BEA-FEE3-4ECE-AAE8-6B741D64D3DE}"/>
            </a:ext>
          </a:extLst>
        </xdr:cNvPr>
        <xdr:cNvGrpSpPr/>
      </xdr:nvGrpSpPr>
      <xdr:grpSpPr>
        <a:xfrm>
          <a:off x="2729865" y="6146165"/>
          <a:ext cx="5224826" cy="3016284"/>
          <a:chOff x="1232899" y="5527497"/>
          <a:chExt cx="5291501" cy="3016284"/>
        </a:xfrm>
      </xdr:grpSpPr>
      <xdr:sp macro="" textlink="">
        <xdr:nvSpPr>
          <xdr:cNvPr id="12" name="Freeform: Shape 11">
            <a:extLst>
              <a:ext uri="{FF2B5EF4-FFF2-40B4-BE49-F238E27FC236}">
                <a16:creationId xmlns:a16="http://schemas.microsoft.com/office/drawing/2014/main" id="{6EF3AE3F-0DCE-48F1-9983-F6254975188A}"/>
              </a:ext>
            </a:extLst>
          </xdr:cNvPr>
          <xdr:cNvSpPr/>
        </xdr:nvSpPr>
        <xdr:spPr>
          <a:xfrm>
            <a:off x="3442179" y="7258666"/>
            <a:ext cx="439352" cy="798925"/>
          </a:xfrm>
          <a:custGeom>
            <a:avLst/>
            <a:gdLst>
              <a:gd name="connsiteX0" fmla="*/ 439352 w 439352"/>
              <a:gd name="connsiteY0" fmla="*/ 90006 h 798925"/>
              <a:gd name="connsiteX1" fmla="*/ 0 w 439352"/>
              <a:gd name="connsiteY1" fmla="*/ 798925 h 798925"/>
              <a:gd name="connsiteX2" fmla="*/ 383514 w 439352"/>
              <a:gd name="connsiteY2" fmla="*/ 0 h 798925"/>
              <a:gd name="connsiteX3" fmla="*/ 439352 w 439352"/>
              <a:gd name="connsiteY3" fmla="*/ 90006 h 798925"/>
            </a:gdLst>
            <a:ahLst/>
            <a:cxnLst>
              <a:cxn ang="0">
                <a:pos x="connsiteX0" y="connsiteY0"/>
              </a:cxn>
              <a:cxn ang="0">
                <a:pos x="connsiteX1" y="connsiteY1"/>
              </a:cxn>
              <a:cxn ang="0">
                <a:pos x="connsiteX2" y="connsiteY2"/>
              </a:cxn>
              <a:cxn ang="0">
                <a:pos x="connsiteX3" y="connsiteY3"/>
              </a:cxn>
            </a:cxnLst>
            <a:rect l="l" t="t" r="r" b="b"/>
            <a:pathLst>
              <a:path w="439352" h="798925">
                <a:moveTo>
                  <a:pt x="439352" y="90006"/>
                </a:moveTo>
                <a:lnTo>
                  <a:pt x="0" y="798925"/>
                </a:lnTo>
                <a:lnTo>
                  <a:pt x="383514" y="0"/>
                </a:lnTo>
                <a:lnTo>
                  <a:pt x="439352" y="90006"/>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 name="Freeform: Shape 12">
            <a:extLst>
              <a:ext uri="{FF2B5EF4-FFF2-40B4-BE49-F238E27FC236}">
                <a16:creationId xmlns:a16="http://schemas.microsoft.com/office/drawing/2014/main" id="{677F1E29-218C-4164-BDF3-45434D886961}"/>
              </a:ext>
            </a:extLst>
          </xdr:cNvPr>
          <xdr:cNvSpPr/>
        </xdr:nvSpPr>
        <xdr:spPr>
          <a:xfrm>
            <a:off x="3620424" y="7349467"/>
            <a:ext cx="260908" cy="901050"/>
          </a:xfrm>
          <a:custGeom>
            <a:avLst/>
            <a:gdLst>
              <a:gd name="connsiteX0" fmla="*/ 260909 w 260908"/>
              <a:gd name="connsiteY0" fmla="*/ 0 h 901050"/>
              <a:gd name="connsiteX1" fmla="*/ 0 w 260908"/>
              <a:gd name="connsiteY1" fmla="*/ 901051 h 901050"/>
              <a:gd name="connsiteX2" fmla="*/ 63389 w 260908"/>
              <a:gd name="connsiteY2" fmla="*/ 318696 h 901050"/>
              <a:gd name="connsiteX3" fmla="*/ 260909 w 260908"/>
              <a:gd name="connsiteY3" fmla="*/ 0 h 901050"/>
            </a:gdLst>
            <a:ahLst/>
            <a:cxnLst>
              <a:cxn ang="0">
                <a:pos x="connsiteX0" y="connsiteY0"/>
              </a:cxn>
              <a:cxn ang="0">
                <a:pos x="connsiteX1" y="connsiteY1"/>
              </a:cxn>
              <a:cxn ang="0">
                <a:pos x="connsiteX2" y="connsiteY2"/>
              </a:cxn>
              <a:cxn ang="0">
                <a:pos x="connsiteX3" y="connsiteY3"/>
              </a:cxn>
            </a:cxnLst>
            <a:rect l="l" t="t" r="r" b="b"/>
            <a:pathLst>
              <a:path w="260908" h="901050">
                <a:moveTo>
                  <a:pt x="260909" y="0"/>
                </a:moveTo>
                <a:lnTo>
                  <a:pt x="0" y="901051"/>
                </a:lnTo>
                <a:lnTo>
                  <a:pt x="63389" y="318696"/>
                </a:lnTo>
                <a:lnTo>
                  <a:pt x="260909"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 name="Freeform: Shape 13">
            <a:extLst>
              <a:ext uri="{FF2B5EF4-FFF2-40B4-BE49-F238E27FC236}">
                <a16:creationId xmlns:a16="http://schemas.microsoft.com/office/drawing/2014/main" id="{015D064B-7B49-4AA8-A3E9-37A380A2CE96}"/>
              </a:ext>
            </a:extLst>
          </xdr:cNvPr>
          <xdr:cNvSpPr/>
        </xdr:nvSpPr>
        <xdr:spPr>
          <a:xfrm>
            <a:off x="3442179" y="7948114"/>
            <a:ext cx="178443" cy="301409"/>
          </a:xfrm>
          <a:custGeom>
            <a:avLst/>
            <a:gdLst>
              <a:gd name="connsiteX0" fmla="*/ 0 w 178443"/>
              <a:gd name="connsiteY0" fmla="*/ 109477 h 301409"/>
              <a:gd name="connsiteX1" fmla="*/ 178443 w 178443"/>
              <a:gd name="connsiteY1" fmla="*/ 301410 h 301409"/>
              <a:gd name="connsiteX2" fmla="*/ 68556 w 178443"/>
              <a:gd name="connsiteY2" fmla="*/ 0 h 301409"/>
              <a:gd name="connsiteX3" fmla="*/ 0 w 178443"/>
              <a:gd name="connsiteY3" fmla="*/ 109477 h 301409"/>
            </a:gdLst>
            <a:ahLst/>
            <a:cxnLst>
              <a:cxn ang="0">
                <a:pos x="connsiteX0" y="connsiteY0"/>
              </a:cxn>
              <a:cxn ang="0">
                <a:pos x="connsiteX1" y="connsiteY1"/>
              </a:cxn>
              <a:cxn ang="0">
                <a:pos x="connsiteX2" y="connsiteY2"/>
              </a:cxn>
              <a:cxn ang="0">
                <a:pos x="connsiteX3" y="connsiteY3"/>
              </a:cxn>
            </a:cxnLst>
            <a:rect l="l" t="t" r="r" b="b"/>
            <a:pathLst>
              <a:path w="178443" h="301409">
                <a:moveTo>
                  <a:pt x="0" y="109477"/>
                </a:moveTo>
                <a:lnTo>
                  <a:pt x="178443" y="301410"/>
                </a:lnTo>
                <a:lnTo>
                  <a:pt x="68556" y="0"/>
                </a:lnTo>
                <a:lnTo>
                  <a:pt x="0" y="109477"/>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 name="Freeform: Shape 14">
            <a:extLst>
              <a:ext uri="{FF2B5EF4-FFF2-40B4-BE49-F238E27FC236}">
                <a16:creationId xmlns:a16="http://schemas.microsoft.com/office/drawing/2014/main" id="{E4BFCA1D-74E9-4033-8F44-5EE54E7B23CC}"/>
              </a:ext>
            </a:extLst>
          </xdr:cNvPr>
          <xdr:cNvSpPr/>
        </xdr:nvSpPr>
        <xdr:spPr>
          <a:xfrm>
            <a:off x="3510734" y="7948114"/>
            <a:ext cx="109887" cy="301409"/>
          </a:xfrm>
          <a:custGeom>
            <a:avLst/>
            <a:gdLst>
              <a:gd name="connsiteX0" fmla="*/ 69351 w 109887"/>
              <a:gd name="connsiteY0" fmla="*/ 190144 h 301409"/>
              <a:gd name="connsiteX1" fmla="*/ 0 w 109887"/>
              <a:gd name="connsiteY1" fmla="*/ 0 h 301409"/>
              <a:gd name="connsiteX2" fmla="*/ 7750 w 109887"/>
              <a:gd name="connsiteY2" fmla="*/ 191535 h 301409"/>
              <a:gd name="connsiteX3" fmla="*/ 109888 w 109887"/>
              <a:gd name="connsiteY3" fmla="*/ 301410 h 301409"/>
              <a:gd name="connsiteX4" fmla="*/ 69351 w 109887"/>
              <a:gd name="connsiteY4" fmla="*/ 190144 h 3014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887" h="301409">
                <a:moveTo>
                  <a:pt x="69351" y="190144"/>
                </a:moveTo>
                <a:lnTo>
                  <a:pt x="0" y="0"/>
                </a:lnTo>
                <a:lnTo>
                  <a:pt x="7750" y="191535"/>
                </a:lnTo>
                <a:lnTo>
                  <a:pt x="109888" y="301410"/>
                </a:lnTo>
                <a:lnTo>
                  <a:pt x="69351" y="190144"/>
                </a:lnTo>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 name="Freeform: Shape 15">
            <a:extLst>
              <a:ext uri="{FF2B5EF4-FFF2-40B4-BE49-F238E27FC236}">
                <a16:creationId xmlns:a16="http://schemas.microsoft.com/office/drawing/2014/main" id="{16EB6152-7F2A-4F07-86A2-7DA3A751B876}"/>
              </a:ext>
            </a:extLst>
          </xdr:cNvPr>
          <xdr:cNvSpPr/>
        </xdr:nvSpPr>
        <xdr:spPr>
          <a:xfrm>
            <a:off x="3811386" y="7348672"/>
            <a:ext cx="71337" cy="736139"/>
          </a:xfrm>
          <a:custGeom>
            <a:avLst/>
            <a:gdLst>
              <a:gd name="connsiteX0" fmla="*/ 70145 w 71337"/>
              <a:gd name="connsiteY0" fmla="*/ 0 h 736139"/>
              <a:gd name="connsiteX1" fmla="*/ 71338 w 71337"/>
              <a:gd name="connsiteY1" fmla="*/ 736140 h 736139"/>
              <a:gd name="connsiteX2" fmla="*/ 0 w 71337"/>
              <a:gd name="connsiteY2" fmla="*/ 242399 h 736139"/>
              <a:gd name="connsiteX3" fmla="*/ 70145 w 71337"/>
              <a:gd name="connsiteY3" fmla="*/ 0 h 736139"/>
            </a:gdLst>
            <a:ahLst/>
            <a:cxnLst>
              <a:cxn ang="0">
                <a:pos x="connsiteX0" y="connsiteY0"/>
              </a:cxn>
              <a:cxn ang="0">
                <a:pos x="connsiteX1" y="connsiteY1"/>
              </a:cxn>
              <a:cxn ang="0">
                <a:pos x="connsiteX2" y="connsiteY2"/>
              </a:cxn>
              <a:cxn ang="0">
                <a:pos x="connsiteX3" y="connsiteY3"/>
              </a:cxn>
            </a:cxnLst>
            <a:rect l="l" t="t" r="r" b="b"/>
            <a:pathLst>
              <a:path w="71337" h="736139">
                <a:moveTo>
                  <a:pt x="70145" y="0"/>
                </a:moveTo>
                <a:lnTo>
                  <a:pt x="71338" y="736140"/>
                </a:lnTo>
                <a:lnTo>
                  <a:pt x="0" y="242399"/>
                </a:lnTo>
                <a:lnTo>
                  <a:pt x="70145"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 name="Freeform: Shape 16">
            <a:extLst>
              <a:ext uri="{FF2B5EF4-FFF2-40B4-BE49-F238E27FC236}">
                <a16:creationId xmlns:a16="http://schemas.microsoft.com/office/drawing/2014/main" id="{C17952E2-77A8-465B-BD05-CCCA244116D6}"/>
              </a:ext>
            </a:extLst>
          </xdr:cNvPr>
          <xdr:cNvSpPr/>
        </xdr:nvSpPr>
        <xdr:spPr>
          <a:xfrm>
            <a:off x="3749785" y="7592065"/>
            <a:ext cx="132938" cy="492746"/>
          </a:xfrm>
          <a:custGeom>
            <a:avLst/>
            <a:gdLst>
              <a:gd name="connsiteX0" fmla="*/ 61799 w 132938"/>
              <a:gd name="connsiteY0" fmla="*/ 0 h 492746"/>
              <a:gd name="connsiteX1" fmla="*/ 132938 w 132938"/>
              <a:gd name="connsiteY1" fmla="*/ 492747 h 492746"/>
              <a:gd name="connsiteX2" fmla="*/ 0 w 132938"/>
              <a:gd name="connsiteY2" fmla="*/ 394396 h 492746"/>
              <a:gd name="connsiteX3" fmla="*/ 61799 w 132938"/>
              <a:gd name="connsiteY3" fmla="*/ 0 h 492746"/>
            </a:gdLst>
            <a:ahLst/>
            <a:cxnLst>
              <a:cxn ang="0">
                <a:pos x="connsiteX0" y="connsiteY0"/>
              </a:cxn>
              <a:cxn ang="0">
                <a:pos x="connsiteX1" y="connsiteY1"/>
              </a:cxn>
              <a:cxn ang="0">
                <a:pos x="connsiteX2" y="connsiteY2"/>
              </a:cxn>
              <a:cxn ang="0">
                <a:pos x="connsiteX3" y="connsiteY3"/>
              </a:cxn>
            </a:cxnLst>
            <a:rect l="l" t="t" r="r" b="b"/>
            <a:pathLst>
              <a:path w="132938" h="492746">
                <a:moveTo>
                  <a:pt x="61799" y="0"/>
                </a:moveTo>
                <a:lnTo>
                  <a:pt x="132938" y="492747"/>
                </a:lnTo>
                <a:lnTo>
                  <a:pt x="0" y="394396"/>
                </a:lnTo>
                <a:lnTo>
                  <a:pt x="61799"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 name="Freeform: Shape 17">
            <a:extLst>
              <a:ext uri="{FF2B5EF4-FFF2-40B4-BE49-F238E27FC236}">
                <a16:creationId xmlns:a16="http://schemas.microsoft.com/office/drawing/2014/main" id="{07794ABD-FC6D-4357-95FE-618C410E7D0E}"/>
              </a:ext>
            </a:extLst>
          </xdr:cNvPr>
          <xdr:cNvSpPr/>
        </xdr:nvSpPr>
        <xdr:spPr>
          <a:xfrm>
            <a:off x="3770252" y="8084812"/>
            <a:ext cx="112471" cy="458969"/>
          </a:xfrm>
          <a:custGeom>
            <a:avLst/>
            <a:gdLst>
              <a:gd name="connsiteX0" fmla="*/ 112471 w 112471"/>
              <a:gd name="connsiteY0" fmla="*/ 0 h 458969"/>
              <a:gd name="connsiteX1" fmla="*/ 112471 w 112471"/>
              <a:gd name="connsiteY1" fmla="*/ 458969 h 458969"/>
              <a:gd name="connsiteX2" fmla="*/ 0 w 112471"/>
              <a:gd name="connsiteY2" fmla="*/ 325650 h 458969"/>
              <a:gd name="connsiteX3" fmla="*/ 112471 w 112471"/>
              <a:gd name="connsiteY3" fmla="*/ 0 h 458969"/>
            </a:gdLst>
            <a:ahLst/>
            <a:cxnLst>
              <a:cxn ang="0">
                <a:pos x="connsiteX0" y="connsiteY0"/>
              </a:cxn>
              <a:cxn ang="0">
                <a:pos x="connsiteX1" y="connsiteY1"/>
              </a:cxn>
              <a:cxn ang="0">
                <a:pos x="connsiteX2" y="connsiteY2"/>
              </a:cxn>
              <a:cxn ang="0">
                <a:pos x="connsiteX3" y="connsiteY3"/>
              </a:cxn>
            </a:cxnLst>
            <a:rect l="l" t="t" r="r" b="b"/>
            <a:pathLst>
              <a:path w="112471" h="458969">
                <a:moveTo>
                  <a:pt x="112471" y="0"/>
                </a:moveTo>
                <a:lnTo>
                  <a:pt x="112471" y="458969"/>
                </a:lnTo>
                <a:lnTo>
                  <a:pt x="0" y="325650"/>
                </a:lnTo>
                <a:lnTo>
                  <a:pt x="112471" y="0"/>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 name="Freeform: Shape 18">
            <a:extLst>
              <a:ext uri="{FF2B5EF4-FFF2-40B4-BE49-F238E27FC236}">
                <a16:creationId xmlns:a16="http://schemas.microsoft.com/office/drawing/2014/main" id="{5DE9FC2F-FC9C-4FAB-88A9-53BD005CB8A2}"/>
              </a:ext>
            </a:extLst>
          </xdr:cNvPr>
          <xdr:cNvSpPr/>
        </xdr:nvSpPr>
        <xdr:spPr>
          <a:xfrm>
            <a:off x="3749785" y="7986461"/>
            <a:ext cx="132938" cy="424000"/>
          </a:xfrm>
          <a:custGeom>
            <a:avLst/>
            <a:gdLst>
              <a:gd name="connsiteX0" fmla="*/ 20467 w 132938"/>
              <a:gd name="connsiteY0" fmla="*/ 424001 h 424000"/>
              <a:gd name="connsiteX1" fmla="*/ 132938 w 132938"/>
              <a:gd name="connsiteY1" fmla="*/ 98351 h 424000"/>
              <a:gd name="connsiteX2" fmla="*/ 0 w 132938"/>
              <a:gd name="connsiteY2" fmla="*/ 0 h 424000"/>
              <a:gd name="connsiteX3" fmla="*/ 20467 w 132938"/>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132938" h="424000">
                <a:moveTo>
                  <a:pt x="20467" y="424001"/>
                </a:moveTo>
                <a:lnTo>
                  <a:pt x="132938" y="98351"/>
                </a:lnTo>
                <a:lnTo>
                  <a:pt x="0" y="0"/>
                </a:lnTo>
                <a:lnTo>
                  <a:pt x="20467" y="42400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Freeform: Shape 19">
            <a:extLst>
              <a:ext uri="{FF2B5EF4-FFF2-40B4-BE49-F238E27FC236}">
                <a16:creationId xmlns:a16="http://schemas.microsoft.com/office/drawing/2014/main" id="{0204CF61-8048-4DC6-83F1-D8E13BDCE6A4}"/>
              </a:ext>
            </a:extLst>
          </xdr:cNvPr>
          <xdr:cNvSpPr/>
        </xdr:nvSpPr>
        <xdr:spPr>
          <a:xfrm>
            <a:off x="3695139" y="7986461"/>
            <a:ext cx="75113" cy="424000"/>
          </a:xfrm>
          <a:custGeom>
            <a:avLst/>
            <a:gdLst>
              <a:gd name="connsiteX0" fmla="*/ 75113 w 75113"/>
              <a:gd name="connsiteY0" fmla="*/ 424001 h 424000"/>
              <a:gd name="connsiteX1" fmla="*/ 0 w 75113"/>
              <a:gd name="connsiteY1" fmla="*/ 343134 h 424000"/>
              <a:gd name="connsiteX2" fmla="*/ 54646 w 75113"/>
              <a:gd name="connsiteY2" fmla="*/ 0 h 424000"/>
              <a:gd name="connsiteX3" fmla="*/ 75113 w 75113"/>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75113" h="424000">
                <a:moveTo>
                  <a:pt x="75113" y="424001"/>
                </a:moveTo>
                <a:lnTo>
                  <a:pt x="0" y="343134"/>
                </a:lnTo>
                <a:lnTo>
                  <a:pt x="54646" y="0"/>
                </a:lnTo>
                <a:lnTo>
                  <a:pt x="75113" y="424001"/>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Freeform: Shape 20">
            <a:extLst>
              <a:ext uri="{FF2B5EF4-FFF2-40B4-BE49-F238E27FC236}">
                <a16:creationId xmlns:a16="http://schemas.microsoft.com/office/drawing/2014/main" id="{6C3220B3-1B18-452C-8ED1-D0C2DA36E02E}"/>
              </a:ext>
            </a:extLst>
          </xdr:cNvPr>
          <xdr:cNvSpPr/>
        </xdr:nvSpPr>
        <xdr:spPr>
          <a:xfrm>
            <a:off x="3442179" y="7258666"/>
            <a:ext cx="439352" cy="798925"/>
          </a:xfrm>
          <a:custGeom>
            <a:avLst/>
            <a:gdLst>
              <a:gd name="connsiteX0" fmla="*/ 0 w 439352"/>
              <a:gd name="connsiteY0" fmla="*/ 798925 h 798925"/>
              <a:gd name="connsiteX1" fmla="*/ 383514 w 439352"/>
              <a:gd name="connsiteY1" fmla="*/ 0 h 798925"/>
              <a:gd name="connsiteX2" fmla="*/ 439352 w 439352"/>
              <a:gd name="connsiteY2" fmla="*/ 90006 h 798925"/>
              <a:gd name="connsiteX3" fmla="*/ 0 w 439352"/>
              <a:gd name="connsiteY3" fmla="*/ 798925 h 798925"/>
            </a:gdLst>
            <a:ahLst/>
            <a:cxnLst>
              <a:cxn ang="0">
                <a:pos x="connsiteX0" y="connsiteY0"/>
              </a:cxn>
              <a:cxn ang="0">
                <a:pos x="connsiteX1" y="connsiteY1"/>
              </a:cxn>
              <a:cxn ang="0">
                <a:pos x="connsiteX2" y="connsiteY2"/>
              </a:cxn>
              <a:cxn ang="0">
                <a:pos x="connsiteX3" y="connsiteY3"/>
              </a:cxn>
            </a:cxnLst>
            <a:rect l="l" t="t" r="r" b="b"/>
            <a:pathLst>
              <a:path w="439352" h="798925">
                <a:moveTo>
                  <a:pt x="0" y="798925"/>
                </a:moveTo>
                <a:lnTo>
                  <a:pt x="383514" y="0"/>
                </a:lnTo>
                <a:lnTo>
                  <a:pt x="439352" y="90006"/>
                </a:lnTo>
                <a:lnTo>
                  <a:pt x="0" y="798925"/>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Freeform: Shape 21">
            <a:extLst>
              <a:ext uri="{FF2B5EF4-FFF2-40B4-BE49-F238E27FC236}">
                <a16:creationId xmlns:a16="http://schemas.microsoft.com/office/drawing/2014/main" id="{C81461DA-A26A-45C4-B006-AA12468F0ABB}"/>
              </a:ext>
            </a:extLst>
          </xdr:cNvPr>
          <xdr:cNvSpPr/>
        </xdr:nvSpPr>
        <xdr:spPr>
          <a:xfrm>
            <a:off x="3881531" y="7258666"/>
            <a:ext cx="439352" cy="798925"/>
          </a:xfrm>
          <a:custGeom>
            <a:avLst/>
            <a:gdLst>
              <a:gd name="connsiteX0" fmla="*/ 0 w 439352"/>
              <a:gd name="connsiteY0" fmla="*/ 90006 h 798925"/>
              <a:gd name="connsiteX1" fmla="*/ 439352 w 439352"/>
              <a:gd name="connsiteY1" fmla="*/ 798925 h 798925"/>
              <a:gd name="connsiteX2" fmla="*/ 55838 w 439352"/>
              <a:gd name="connsiteY2" fmla="*/ 0 h 798925"/>
              <a:gd name="connsiteX3" fmla="*/ 0 w 439352"/>
              <a:gd name="connsiteY3" fmla="*/ 90006 h 798925"/>
            </a:gdLst>
            <a:ahLst/>
            <a:cxnLst>
              <a:cxn ang="0">
                <a:pos x="connsiteX0" y="connsiteY0"/>
              </a:cxn>
              <a:cxn ang="0">
                <a:pos x="connsiteX1" y="connsiteY1"/>
              </a:cxn>
              <a:cxn ang="0">
                <a:pos x="connsiteX2" y="connsiteY2"/>
              </a:cxn>
              <a:cxn ang="0">
                <a:pos x="connsiteX3" y="connsiteY3"/>
              </a:cxn>
            </a:cxnLst>
            <a:rect l="l" t="t" r="r" b="b"/>
            <a:pathLst>
              <a:path w="439352" h="798925">
                <a:moveTo>
                  <a:pt x="0" y="90006"/>
                </a:moveTo>
                <a:lnTo>
                  <a:pt x="439352" y="798925"/>
                </a:lnTo>
                <a:lnTo>
                  <a:pt x="55838" y="0"/>
                </a:lnTo>
                <a:lnTo>
                  <a:pt x="0" y="9000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Freeform: Shape 22">
            <a:extLst>
              <a:ext uri="{FF2B5EF4-FFF2-40B4-BE49-F238E27FC236}">
                <a16:creationId xmlns:a16="http://schemas.microsoft.com/office/drawing/2014/main" id="{3A417428-9BD5-484F-9DC8-532D8E8739C3}"/>
              </a:ext>
            </a:extLst>
          </xdr:cNvPr>
          <xdr:cNvSpPr/>
        </xdr:nvSpPr>
        <xdr:spPr>
          <a:xfrm>
            <a:off x="3881730" y="7349467"/>
            <a:ext cx="260908" cy="901050"/>
          </a:xfrm>
          <a:custGeom>
            <a:avLst/>
            <a:gdLst>
              <a:gd name="connsiteX0" fmla="*/ 0 w 260908"/>
              <a:gd name="connsiteY0" fmla="*/ 0 h 901050"/>
              <a:gd name="connsiteX1" fmla="*/ 260909 w 260908"/>
              <a:gd name="connsiteY1" fmla="*/ 901051 h 901050"/>
              <a:gd name="connsiteX2" fmla="*/ 197520 w 260908"/>
              <a:gd name="connsiteY2" fmla="*/ 318696 h 901050"/>
              <a:gd name="connsiteX3" fmla="*/ 0 w 260908"/>
              <a:gd name="connsiteY3" fmla="*/ 0 h 901050"/>
            </a:gdLst>
            <a:ahLst/>
            <a:cxnLst>
              <a:cxn ang="0">
                <a:pos x="connsiteX0" y="connsiteY0"/>
              </a:cxn>
              <a:cxn ang="0">
                <a:pos x="connsiteX1" y="connsiteY1"/>
              </a:cxn>
              <a:cxn ang="0">
                <a:pos x="connsiteX2" y="connsiteY2"/>
              </a:cxn>
              <a:cxn ang="0">
                <a:pos x="connsiteX3" y="connsiteY3"/>
              </a:cxn>
            </a:cxnLst>
            <a:rect l="l" t="t" r="r" b="b"/>
            <a:pathLst>
              <a:path w="260908" h="901050">
                <a:moveTo>
                  <a:pt x="0" y="0"/>
                </a:moveTo>
                <a:lnTo>
                  <a:pt x="260909" y="901051"/>
                </a:lnTo>
                <a:lnTo>
                  <a:pt x="197520" y="318696"/>
                </a:lnTo>
                <a:lnTo>
                  <a:pt x="0"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 name="Freeform: Shape 23">
            <a:extLst>
              <a:ext uri="{FF2B5EF4-FFF2-40B4-BE49-F238E27FC236}">
                <a16:creationId xmlns:a16="http://schemas.microsoft.com/office/drawing/2014/main" id="{F26BB40C-34FE-44FC-8CB8-95D9790A0BD2}"/>
              </a:ext>
            </a:extLst>
          </xdr:cNvPr>
          <xdr:cNvSpPr/>
        </xdr:nvSpPr>
        <xdr:spPr>
          <a:xfrm>
            <a:off x="4142440" y="7948114"/>
            <a:ext cx="178443" cy="301409"/>
          </a:xfrm>
          <a:custGeom>
            <a:avLst/>
            <a:gdLst>
              <a:gd name="connsiteX0" fmla="*/ 178443 w 178443"/>
              <a:gd name="connsiteY0" fmla="*/ 109477 h 301409"/>
              <a:gd name="connsiteX1" fmla="*/ 0 w 178443"/>
              <a:gd name="connsiteY1" fmla="*/ 301410 h 301409"/>
              <a:gd name="connsiteX2" fmla="*/ 110087 w 178443"/>
              <a:gd name="connsiteY2" fmla="*/ 0 h 301409"/>
              <a:gd name="connsiteX3" fmla="*/ 178443 w 178443"/>
              <a:gd name="connsiteY3" fmla="*/ 109477 h 301409"/>
            </a:gdLst>
            <a:ahLst/>
            <a:cxnLst>
              <a:cxn ang="0">
                <a:pos x="connsiteX0" y="connsiteY0"/>
              </a:cxn>
              <a:cxn ang="0">
                <a:pos x="connsiteX1" y="connsiteY1"/>
              </a:cxn>
              <a:cxn ang="0">
                <a:pos x="connsiteX2" y="connsiteY2"/>
              </a:cxn>
              <a:cxn ang="0">
                <a:pos x="connsiteX3" y="connsiteY3"/>
              </a:cxn>
            </a:cxnLst>
            <a:rect l="l" t="t" r="r" b="b"/>
            <a:pathLst>
              <a:path w="178443" h="301409">
                <a:moveTo>
                  <a:pt x="178443" y="109477"/>
                </a:moveTo>
                <a:lnTo>
                  <a:pt x="0" y="301410"/>
                </a:lnTo>
                <a:lnTo>
                  <a:pt x="110087" y="0"/>
                </a:lnTo>
                <a:lnTo>
                  <a:pt x="178443" y="109477"/>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5" name="Freeform: Shape 24">
            <a:extLst>
              <a:ext uri="{FF2B5EF4-FFF2-40B4-BE49-F238E27FC236}">
                <a16:creationId xmlns:a16="http://schemas.microsoft.com/office/drawing/2014/main" id="{E2915F02-A26F-4823-B68C-365CEC9BC5EC}"/>
              </a:ext>
            </a:extLst>
          </xdr:cNvPr>
          <xdr:cNvSpPr/>
        </xdr:nvSpPr>
        <xdr:spPr>
          <a:xfrm>
            <a:off x="4142440" y="7948114"/>
            <a:ext cx="110086" cy="301409"/>
          </a:xfrm>
          <a:custGeom>
            <a:avLst/>
            <a:gdLst>
              <a:gd name="connsiteX0" fmla="*/ 110087 w 110086"/>
              <a:gd name="connsiteY0" fmla="*/ 0 h 301409"/>
              <a:gd name="connsiteX1" fmla="*/ 102138 w 110086"/>
              <a:gd name="connsiteY1" fmla="*/ 191535 h 301409"/>
              <a:gd name="connsiteX2" fmla="*/ 0 w 110086"/>
              <a:gd name="connsiteY2" fmla="*/ 301410 h 301409"/>
              <a:gd name="connsiteX3" fmla="*/ 110087 w 110086"/>
              <a:gd name="connsiteY3" fmla="*/ 0 h 301409"/>
            </a:gdLst>
            <a:ahLst/>
            <a:cxnLst>
              <a:cxn ang="0">
                <a:pos x="connsiteX0" y="connsiteY0"/>
              </a:cxn>
              <a:cxn ang="0">
                <a:pos x="connsiteX1" y="connsiteY1"/>
              </a:cxn>
              <a:cxn ang="0">
                <a:pos x="connsiteX2" y="connsiteY2"/>
              </a:cxn>
              <a:cxn ang="0">
                <a:pos x="connsiteX3" y="connsiteY3"/>
              </a:cxn>
            </a:cxnLst>
            <a:rect l="l" t="t" r="r" b="b"/>
            <a:pathLst>
              <a:path w="110086" h="301409">
                <a:moveTo>
                  <a:pt x="110087" y="0"/>
                </a:moveTo>
                <a:lnTo>
                  <a:pt x="102138" y="191535"/>
                </a:lnTo>
                <a:lnTo>
                  <a:pt x="0" y="301410"/>
                </a:lnTo>
                <a:lnTo>
                  <a:pt x="110087" y="0"/>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6" name="Freeform: Shape 25">
            <a:extLst>
              <a:ext uri="{FF2B5EF4-FFF2-40B4-BE49-F238E27FC236}">
                <a16:creationId xmlns:a16="http://schemas.microsoft.com/office/drawing/2014/main" id="{3FBEDE9B-25FC-4EB1-B151-4B454D7E062C}"/>
              </a:ext>
            </a:extLst>
          </xdr:cNvPr>
          <xdr:cNvSpPr/>
        </xdr:nvSpPr>
        <xdr:spPr>
          <a:xfrm>
            <a:off x="3880339" y="7348672"/>
            <a:ext cx="71337" cy="736139"/>
          </a:xfrm>
          <a:custGeom>
            <a:avLst/>
            <a:gdLst>
              <a:gd name="connsiteX0" fmla="*/ 1192 w 71337"/>
              <a:gd name="connsiteY0" fmla="*/ 0 h 736139"/>
              <a:gd name="connsiteX1" fmla="*/ 0 w 71337"/>
              <a:gd name="connsiteY1" fmla="*/ 736140 h 736139"/>
              <a:gd name="connsiteX2" fmla="*/ 71338 w 71337"/>
              <a:gd name="connsiteY2" fmla="*/ 242399 h 736139"/>
              <a:gd name="connsiteX3" fmla="*/ 1192 w 71337"/>
              <a:gd name="connsiteY3" fmla="*/ 0 h 736139"/>
            </a:gdLst>
            <a:ahLst/>
            <a:cxnLst>
              <a:cxn ang="0">
                <a:pos x="connsiteX0" y="connsiteY0"/>
              </a:cxn>
              <a:cxn ang="0">
                <a:pos x="connsiteX1" y="connsiteY1"/>
              </a:cxn>
              <a:cxn ang="0">
                <a:pos x="connsiteX2" y="connsiteY2"/>
              </a:cxn>
              <a:cxn ang="0">
                <a:pos x="connsiteX3" y="connsiteY3"/>
              </a:cxn>
            </a:cxnLst>
            <a:rect l="l" t="t" r="r" b="b"/>
            <a:pathLst>
              <a:path w="71337" h="736139">
                <a:moveTo>
                  <a:pt x="1192" y="0"/>
                </a:moveTo>
                <a:lnTo>
                  <a:pt x="0" y="736140"/>
                </a:lnTo>
                <a:lnTo>
                  <a:pt x="71338" y="242399"/>
                </a:lnTo>
                <a:lnTo>
                  <a:pt x="1192" y="0"/>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 name="Freeform: Shape 26">
            <a:extLst>
              <a:ext uri="{FF2B5EF4-FFF2-40B4-BE49-F238E27FC236}">
                <a16:creationId xmlns:a16="http://schemas.microsoft.com/office/drawing/2014/main" id="{380AAC46-D7E0-4C00-A0CA-F0054FD13A8B}"/>
              </a:ext>
            </a:extLst>
          </xdr:cNvPr>
          <xdr:cNvSpPr/>
        </xdr:nvSpPr>
        <xdr:spPr>
          <a:xfrm>
            <a:off x="3880339" y="7592065"/>
            <a:ext cx="132938" cy="492746"/>
          </a:xfrm>
          <a:custGeom>
            <a:avLst/>
            <a:gdLst>
              <a:gd name="connsiteX0" fmla="*/ 71139 w 132938"/>
              <a:gd name="connsiteY0" fmla="*/ 0 h 492746"/>
              <a:gd name="connsiteX1" fmla="*/ 0 w 132938"/>
              <a:gd name="connsiteY1" fmla="*/ 492747 h 492746"/>
              <a:gd name="connsiteX2" fmla="*/ 132938 w 132938"/>
              <a:gd name="connsiteY2" fmla="*/ 394396 h 492746"/>
              <a:gd name="connsiteX3" fmla="*/ 71139 w 132938"/>
              <a:gd name="connsiteY3" fmla="*/ 0 h 492746"/>
            </a:gdLst>
            <a:ahLst/>
            <a:cxnLst>
              <a:cxn ang="0">
                <a:pos x="connsiteX0" y="connsiteY0"/>
              </a:cxn>
              <a:cxn ang="0">
                <a:pos x="connsiteX1" y="connsiteY1"/>
              </a:cxn>
              <a:cxn ang="0">
                <a:pos x="connsiteX2" y="connsiteY2"/>
              </a:cxn>
              <a:cxn ang="0">
                <a:pos x="connsiteX3" y="connsiteY3"/>
              </a:cxn>
            </a:cxnLst>
            <a:rect l="l" t="t" r="r" b="b"/>
            <a:pathLst>
              <a:path w="132938" h="492746">
                <a:moveTo>
                  <a:pt x="71139" y="0"/>
                </a:moveTo>
                <a:lnTo>
                  <a:pt x="0" y="492747"/>
                </a:lnTo>
                <a:lnTo>
                  <a:pt x="132938" y="394396"/>
                </a:lnTo>
                <a:lnTo>
                  <a:pt x="71139"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 name="Freeform: Shape 27">
            <a:extLst>
              <a:ext uri="{FF2B5EF4-FFF2-40B4-BE49-F238E27FC236}">
                <a16:creationId xmlns:a16="http://schemas.microsoft.com/office/drawing/2014/main" id="{E416E286-CB8C-4F71-8082-8DE55CC4549A}"/>
              </a:ext>
            </a:extLst>
          </xdr:cNvPr>
          <xdr:cNvSpPr/>
        </xdr:nvSpPr>
        <xdr:spPr>
          <a:xfrm>
            <a:off x="3880339" y="8084812"/>
            <a:ext cx="112471" cy="458969"/>
          </a:xfrm>
          <a:custGeom>
            <a:avLst/>
            <a:gdLst>
              <a:gd name="connsiteX0" fmla="*/ 0 w 112471"/>
              <a:gd name="connsiteY0" fmla="*/ 0 h 458969"/>
              <a:gd name="connsiteX1" fmla="*/ 0 w 112471"/>
              <a:gd name="connsiteY1" fmla="*/ 458969 h 458969"/>
              <a:gd name="connsiteX2" fmla="*/ 112471 w 112471"/>
              <a:gd name="connsiteY2" fmla="*/ 325650 h 458969"/>
              <a:gd name="connsiteX3" fmla="*/ 0 w 112471"/>
              <a:gd name="connsiteY3" fmla="*/ 0 h 458969"/>
            </a:gdLst>
            <a:ahLst/>
            <a:cxnLst>
              <a:cxn ang="0">
                <a:pos x="connsiteX0" y="connsiteY0"/>
              </a:cxn>
              <a:cxn ang="0">
                <a:pos x="connsiteX1" y="connsiteY1"/>
              </a:cxn>
              <a:cxn ang="0">
                <a:pos x="connsiteX2" y="connsiteY2"/>
              </a:cxn>
              <a:cxn ang="0">
                <a:pos x="connsiteX3" y="connsiteY3"/>
              </a:cxn>
            </a:cxnLst>
            <a:rect l="l" t="t" r="r" b="b"/>
            <a:pathLst>
              <a:path w="112471" h="458969">
                <a:moveTo>
                  <a:pt x="0" y="0"/>
                </a:moveTo>
                <a:lnTo>
                  <a:pt x="0" y="458969"/>
                </a:lnTo>
                <a:lnTo>
                  <a:pt x="112471" y="325650"/>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9" name="Freeform: Shape 28">
            <a:extLst>
              <a:ext uri="{FF2B5EF4-FFF2-40B4-BE49-F238E27FC236}">
                <a16:creationId xmlns:a16="http://schemas.microsoft.com/office/drawing/2014/main" id="{DC96536F-1FBF-4CE7-BBFB-B2B22CEE512F}"/>
              </a:ext>
            </a:extLst>
          </xdr:cNvPr>
          <xdr:cNvSpPr/>
        </xdr:nvSpPr>
        <xdr:spPr>
          <a:xfrm>
            <a:off x="3880339" y="7986461"/>
            <a:ext cx="132938" cy="424000"/>
          </a:xfrm>
          <a:custGeom>
            <a:avLst/>
            <a:gdLst>
              <a:gd name="connsiteX0" fmla="*/ 112471 w 132938"/>
              <a:gd name="connsiteY0" fmla="*/ 424001 h 424000"/>
              <a:gd name="connsiteX1" fmla="*/ 0 w 132938"/>
              <a:gd name="connsiteY1" fmla="*/ 98351 h 424000"/>
              <a:gd name="connsiteX2" fmla="*/ 132938 w 132938"/>
              <a:gd name="connsiteY2" fmla="*/ 0 h 424000"/>
              <a:gd name="connsiteX3" fmla="*/ 112471 w 132938"/>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132938" h="424000">
                <a:moveTo>
                  <a:pt x="112471" y="424001"/>
                </a:moveTo>
                <a:lnTo>
                  <a:pt x="0" y="98351"/>
                </a:lnTo>
                <a:lnTo>
                  <a:pt x="132938" y="0"/>
                </a:lnTo>
                <a:lnTo>
                  <a:pt x="112471" y="424001"/>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0" name="Freeform: Shape 29">
            <a:extLst>
              <a:ext uri="{FF2B5EF4-FFF2-40B4-BE49-F238E27FC236}">
                <a16:creationId xmlns:a16="http://schemas.microsoft.com/office/drawing/2014/main" id="{7DF34DC8-789F-4D45-A797-F80A6DDBD9EC}"/>
              </a:ext>
            </a:extLst>
          </xdr:cNvPr>
          <xdr:cNvSpPr/>
        </xdr:nvSpPr>
        <xdr:spPr>
          <a:xfrm>
            <a:off x="3992810" y="7986461"/>
            <a:ext cx="75113" cy="424000"/>
          </a:xfrm>
          <a:custGeom>
            <a:avLst/>
            <a:gdLst>
              <a:gd name="connsiteX0" fmla="*/ 0 w 75113"/>
              <a:gd name="connsiteY0" fmla="*/ 424001 h 424000"/>
              <a:gd name="connsiteX1" fmla="*/ 75113 w 75113"/>
              <a:gd name="connsiteY1" fmla="*/ 343134 h 424000"/>
              <a:gd name="connsiteX2" fmla="*/ 20467 w 75113"/>
              <a:gd name="connsiteY2" fmla="*/ 0 h 424000"/>
              <a:gd name="connsiteX3" fmla="*/ 0 w 75113"/>
              <a:gd name="connsiteY3" fmla="*/ 424001 h 424000"/>
            </a:gdLst>
            <a:ahLst/>
            <a:cxnLst>
              <a:cxn ang="0">
                <a:pos x="connsiteX0" y="connsiteY0"/>
              </a:cxn>
              <a:cxn ang="0">
                <a:pos x="connsiteX1" y="connsiteY1"/>
              </a:cxn>
              <a:cxn ang="0">
                <a:pos x="connsiteX2" y="connsiteY2"/>
              </a:cxn>
              <a:cxn ang="0">
                <a:pos x="connsiteX3" y="connsiteY3"/>
              </a:cxn>
            </a:cxnLst>
            <a:rect l="l" t="t" r="r" b="b"/>
            <a:pathLst>
              <a:path w="75113" h="424000">
                <a:moveTo>
                  <a:pt x="0" y="424001"/>
                </a:moveTo>
                <a:lnTo>
                  <a:pt x="75113" y="343134"/>
                </a:lnTo>
                <a:lnTo>
                  <a:pt x="20467" y="0"/>
                </a:lnTo>
                <a:lnTo>
                  <a:pt x="0" y="42400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1" name="Freeform: Shape 30">
            <a:extLst>
              <a:ext uri="{FF2B5EF4-FFF2-40B4-BE49-F238E27FC236}">
                <a16:creationId xmlns:a16="http://schemas.microsoft.com/office/drawing/2014/main" id="{433CB1E7-75BE-4416-AAC8-C85E9695A631}"/>
              </a:ext>
            </a:extLst>
          </xdr:cNvPr>
          <xdr:cNvSpPr/>
        </xdr:nvSpPr>
        <xdr:spPr>
          <a:xfrm>
            <a:off x="3881531" y="7258666"/>
            <a:ext cx="439352" cy="798925"/>
          </a:xfrm>
          <a:custGeom>
            <a:avLst/>
            <a:gdLst>
              <a:gd name="connsiteX0" fmla="*/ 439352 w 439352"/>
              <a:gd name="connsiteY0" fmla="*/ 798925 h 798925"/>
              <a:gd name="connsiteX1" fmla="*/ 55838 w 439352"/>
              <a:gd name="connsiteY1" fmla="*/ 0 h 798925"/>
              <a:gd name="connsiteX2" fmla="*/ 0 w 439352"/>
              <a:gd name="connsiteY2" fmla="*/ 90006 h 798925"/>
              <a:gd name="connsiteX3" fmla="*/ 439352 w 439352"/>
              <a:gd name="connsiteY3" fmla="*/ 798925 h 798925"/>
            </a:gdLst>
            <a:ahLst/>
            <a:cxnLst>
              <a:cxn ang="0">
                <a:pos x="connsiteX0" y="connsiteY0"/>
              </a:cxn>
              <a:cxn ang="0">
                <a:pos x="connsiteX1" y="connsiteY1"/>
              </a:cxn>
              <a:cxn ang="0">
                <a:pos x="connsiteX2" y="connsiteY2"/>
              </a:cxn>
              <a:cxn ang="0">
                <a:pos x="connsiteX3" y="connsiteY3"/>
              </a:cxn>
            </a:cxnLst>
            <a:rect l="l" t="t" r="r" b="b"/>
            <a:pathLst>
              <a:path w="439352" h="798925">
                <a:moveTo>
                  <a:pt x="439352" y="798925"/>
                </a:moveTo>
                <a:lnTo>
                  <a:pt x="55838" y="0"/>
                </a:lnTo>
                <a:lnTo>
                  <a:pt x="0" y="90006"/>
                </a:lnTo>
                <a:lnTo>
                  <a:pt x="439352" y="798925"/>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2" name="Freeform: Shape 31">
            <a:extLst>
              <a:ext uri="{FF2B5EF4-FFF2-40B4-BE49-F238E27FC236}">
                <a16:creationId xmlns:a16="http://schemas.microsoft.com/office/drawing/2014/main" id="{859A3ED4-D521-4280-8B23-68E67132FEF9}"/>
              </a:ext>
            </a:extLst>
          </xdr:cNvPr>
          <xdr:cNvSpPr/>
        </xdr:nvSpPr>
        <xdr:spPr>
          <a:xfrm>
            <a:off x="3188622" y="6715850"/>
            <a:ext cx="128765" cy="450624"/>
          </a:xfrm>
          <a:custGeom>
            <a:avLst/>
            <a:gdLst>
              <a:gd name="connsiteX0" fmla="*/ 0 w 128765"/>
              <a:gd name="connsiteY0" fmla="*/ 450625 h 450624"/>
              <a:gd name="connsiteX1" fmla="*/ 45903 w 128765"/>
              <a:gd name="connsiteY1" fmla="*/ 0 h 450624"/>
              <a:gd name="connsiteX2" fmla="*/ 128765 w 128765"/>
              <a:gd name="connsiteY2" fmla="*/ 329226 h 450624"/>
              <a:gd name="connsiteX3" fmla="*/ 0 w 128765"/>
              <a:gd name="connsiteY3" fmla="*/ 450625 h 450624"/>
            </a:gdLst>
            <a:ahLst/>
            <a:cxnLst>
              <a:cxn ang="0">
                <a:pos x="connsiteX0" y="connsiteY0"/>
              </a:cxn>
              <a:cxn ang="0">
                <a:pos x="connsiteX1" y="connsiteY1"/>
              </a:cxn>
              <a:cxn ang="0">
                <a:pos x="connsiteX2" y="connsiteY2"/>
              </a:cxn>
              <a:cxn ang="0">
                <a:pos x="connsiteX3" y="connsiteY3"/>
              </a:cxn>
            </a:cxnLst>
            <a:rect l="l" t="t" r="r" b="b"/>
            <a:pathLst>
              <a:path w="128765" h="450624">
                <a:moveTo>
                  <a:pt x="0" y="450625"/>
                </a:moveTo>
                <a:lnTo>
                  <a:pt x="45903" y="0"/>
                </a:lnTo>
                <a:lnTo>
                  <a:pt x="128765" y="329226"/>
                </a:lnTo>
                <a:lnTo>
                  <a:pt x="0" y="450625"/>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3" name="Freeform: Shape 32">
            <a:extLst>
              <a:ext uri="{FF2B5EF4-FFF2-40B4-BE49-F238E27FC236}">
                <a16:creationId xmlns:a16="http://schemas.microsoft.com/office/drawing/2014/main" id="{6EFDDB2A-C086-4612-977E-7ED41273B9DA}"/>
              </a:ext>
            </a:extLst>
          </xdr:cNvPr>
          <xdr:cNvSpPr/>
        </xdr:nvSpPr>
        <xdr:spPr>
          <a:xfrm>
            <a:off x="3234525" y="6041105"/>
            <a:ext cx="803789" cy="1003971"/>
          </a:xfrm>
          <a:custGeom>
            <a:avLst/>
            <a:gdLst>
              <a:gd name="connsiteX0" fmla="*/ 0 w 803789"/>
              <a:gd name="connsiteY0" fmla="*/ 674745 h 1003971"/>
              <a:gd name="connsiteX1" fmla="*/ 803790 w 803789"/>
              <a:gd name="connsiteY1" fmla="*/ 0 h 1003971"/>
              <a:gd name="connsiteX2" fmla="*/ 320125 w 803789"/>
              <a:gd name="connsiteY2" fmla="*/ 779056 h 1003971"/>
              <a:gd name="connsiteX3" fmla="*/ 82863 w 803789"/>
              <a:gd name="connsiteY3" fmla="*/ 1003971 h 1003971"/>
              <a:gd name="connsiteX4" fmla="*/ 0 w 803789"/>
              <a:gd name="connsiteY4" fmla="*/ 674745 h 10039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3789" h="1003971">
                <a:moveTo>
                  <a:pt x="0" y="674745"/>
                </a:moveTo>
                <a:lnTo>
                  <a:pt x="803790" y="0"/>
                </a:lnTo>
                <a:lnTo>
                  <a:pt x="320125" y="779056"/>
                </a:lnTo>
                <a:lnTo>
                  <a:pt x="82863" y="1003971"/>
                </a:lnTo>
                <a:lnTo>
                  <a:pt x="0" y="674745"/>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4" name="Freeform: Shape 33">
            <a:extLst>
              <a:ext uri="{FF2B5EF4-FFF2-40B4-BE49-F238E27FC236}">
                <a16:creationId xmlns:a16="http://schemas.microsoft.com/office/drawing/2014/main" id="{EB15D361-5AE0-4996-B35C-C07D96874DB0}"/>
              </a:ext>
            </a:extLst>
          </xdr:cNvPr>
          <xdr:cNvSpPr/>
        </xdr:nvSpPr>
        <xdr:spPr>
          <a:xfrm>
            <a:off x="2879029" y="6715850"/>
            <a:ext cx="355495" cy="286706"/>
          </a:xfrm>
          <a:custGeom>
            <a:avLst/>
            <a:gdLst>
              <a:gd name="connsiteX0" fmla="*/ 355496 w 355495"/>
              <a:gd name="connsiteY0" fmla="*/ 0 h 286706"/>
              <a:gd name="connsiteX1" fmla="*/ 0 w 355495"/>
              <a:gd name="connsiteY1" fmla="*/ 286707 h 286706"/>
              <a:gd name="connsiteX2" fmla="*/ 335426 w 355495"/>
              <a:gd name="connsiteY2" fmla="*/ 197099 h 286706"/>
              <a:gd name="connsiteX3" fmla="*/ 355496 w 355495"/>
              <a:gd name="connsiteY3" fmla="*/ 0 h 286706"/>
            </a:gdLst>
            <a:ahLst/>
            <a:cxnLst>
              <a:cxn ang="0">
                <a:pos x="connsiteX0" y="connsiteY0"/>
              </a:cxn>
              <a:cxn ang="0">
                <a:pos x="connsiteX1" y="connsiteY1"/>
              </a:cxn>
              <a:cxn ang="0">
                <a:pos x="connsiteX2" y="connsiteY2"/>
              </a:cxn>
              <a:cxn ang="0">
                <a:pos x="connsiteX3" y="connsiteY3"/>
              </a:cxn>
            </a:cxnLst>
            <a:rect l="l" t="t" r="r" b="b"/>
            <a:pathLst>
              <a:path w="355495" h="286706">
                <a:moveTo>
                  <a:pt x="355496" y="0"/>
                </a:moveTo>
                <a:lnTo>
                  <a:pt x="0" y="286707"/>
                </a:lnTo>
                <a:lnTo>
                  <a:pt x="335426" y="197099"/>
                </a:lnTo>
                <a:lnTo>
                  <a:pt x="355496"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5" name="Freeform: Shape 34">
            <a:extLst>
              <a:ext uri="{FF2B5EF4-FFF2-40B4-BE49-F238E27FC236}">
                <a16:creationId xmlns:a16="http://schemas.microsoft.com/office/drawing/2014/main" id="{C1CBDBA0-8709-42EB-9D9C-A4E8DA72BDAF}"/>
              </a:ext>
            </a:extLst>
          </xdr:cNvPr>
          <xdr:cNvSpPr/>
        </xdr:nvSpPr>
        <xdr:spPr>
          <a:xfrm>
            <a:off x="2879029" y="6912949"/>
            <a:ext cx="335426" cy="253525"/>
          </a:xfrm>
          <a:custGeom>
            <a:avLst/>
            <a:gdLst>
              <a:gd name="connsiteX0" fmla="*/ 0 w 335426"/>
              <a:gd name="connsiteY0" fmla="*/ 89608 h 253525"/>
              <a:gd name="connsiteX1" fmla="*/ 309593 w 335426"/>
              <a:gd name="connsiteY1" fmla="*/ 253526 h 253525"/>
              <a:gd name="connsiteX2" fmla="*/ 335426 w 335426"/>
              <a:gd name="connsiteY2" fmla="*/ 0 h 253525"/>
              <a:gd name="connsiteX3" fmla="*/ 0 w 335426"/>
              <a:gd name="connsiteY3" fmla="*/ 89608 h 253525"/>
            </a:gdLst>
            <a:ahLst/>
            <a:cxnLst>
              <a:cxn ang="0">
                <a:pos x="connsiteX0" y="connsiteY0"/>
              </a:cxn>
              <a:cxn ang="0">
                <a:pos x="connsiteX1" y="connsiteY1"/>
              </a:cxn>
              <a:cxn ang="0">
                <a:pos x="connsiteX2" y="connsiteY2"/>
              </a:cxn>
              <a:cxn ang="0">
                <a:pos x="connsiteX3" y="connsiteY3"/>
              </a:cxn>
            </a:cxnLst>
            <a:rect l="l" t="t" r="r" b="b"/>
            <a:pathLst>
              <a:path w="335426" h="253525">
                <a:moveTo>
                  <a:pt x="0" y="89608"/>
                </a:moveTo>
                <a:lnTo>
                  <a:pt x="309593" y="253526"/>
                </a:lnTo>
                <a:lnTo>
                  <a:pt x="335426" y="0"/>
                </a:lnTo>
                <a:lnTo>
                  <a:pt x="0" y="89608"/>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6" name="Freeform: Shape 35">
            <a:extLst>
              <a:ext uri="{FF2B5EF4-FFF2-40B4-BE49-F238E27FC236}">
                <a16:creationId xmlns:a16="http://schemas.microsoft.com/office/drawing/2014/main" id="{E40C8657-36F0-46C9-8F9C-EC472172CB89}"/>
              </a:ext>
            </a:extLst>
          </xdr:cNvPr>
          <xdr:cNvSpPr/>
        </xdr:nvSpPr>
        <xdr:spPr>
          <a:xfrm>
            <a:off x="3234525" y="6041105"/>
            <a:ext cx="803789" cy="842040"/>
          </a:xfrm>
          <a:custGeom>
            <a:avLst/>
            <a:gdLst>
              <a:gd name="connsiteX0" fmla="*/ 42723 w 803789"/>
              <a:gd name="connsiteY0" fmla="*/ 842041 h 842040"/>
              <a:gd name="connsiteX1" fmla="*/ 0 w 803789"/>
              <a:gd name="connsiteY1" fmla="*/ 674745 h 842040"/>
              <a:gd name="connsiteX2" fmla="*/ 803790 w 803789"/>
              <a:gd name="connsiteY2" fmla="*/ 0 h 842040"/>
              <a:gd name="connsiteX3" fmla="*/ 42723 w 803789"/>
              <a:gd name="connsiteY3" fmla="*/ 842041 h 842040"/>
            </a:gdLst>
            <a:ahLst/>
            <a:cxnLst>
              <a:cxn ang="0">
                <a:pos x="connsiteX0" y="connsiteY0"/>
              </a:cxn>
              <a:cxn ang="0">
                <a:pos x="connsiteX1" y="connsiteY1"/>
              </a:cxn>
              <a:cxn ang="0">
                <a:pos x="connsiteX2" y="connsiteY2"/>
              </a:cxn>
              <a:cxn ang="0">
                <a:pos x="connsiteX3" y="connsiteY3"/>
              </a:cxn>
            </a:cxnLst>
            <a:rect l="l" t="t" r="r" b="b"/>
            <a:pathLst>
              <a:path w="803789" h="842040">
                <a:moveTo>
                  <a:pt x="42723" y="842041"/>
                </a:moveTo>
                <a:lnTo>
                  <a:pt x="0" y="674745"/>
                </a:lnTo>
                <a:lnTo>
                  <a:pt x="803790" y="0"/>
                </a:lnTo>
                <a:lnTo>
                  <a:pt x="42723" y="842041"/>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7" name="Freeform: Shape 36">
            <a:extLst>
              <a:ext uri="{FF2B5EF4-FFF2-40B4-BE49-F238E27FC236}">
                <a16:creationId xmlns:a16="http://schemas.microsoft.com/office/drawing/2014/main" id="{6D7FA8B2-E28F-449D-A65B-5035AF29E0FA}"/>
              </a:ext>
            </a:extLst>
          </xdr:cNvPr>
          <xdr:cNvSpPr/>
        </xdr:nvSpPr>
        <xdr:spPr>
          <a:xfrm>
            <a:off x="3234525" y="6041105"/>
            <a:ext cx="803789" cy="674745"/>
          </a:xfrm>
          <a:custGeom>
            <a:avLst/>
            <a:gdLst>
              <a:gd name="connsiteX0" fmla="*/ 387886 w 803789"/>
              <a:gd name="connsiteY0" fmla="*/ 458970 h 674745"/>
              <a:gd name="connsiteX1" fmla="*/ 0 w 803789"/>
              <a:gd name="connsiteY1" fmla="*/ 674745 h 674745"/>
              <a:gd name="connsiteX2" fmla="*/ 803790 w 803789"/>
              <a:gd name="connsiteY2" fmla="*/ 0 h 674745"/>
              <a:gd name="connsiteX3" fmla="*/ 387886 w 803789"/>
              <a:gd name="connsiteY3" fmla="*/ 458970 h 674745"/>
            </a:gdLst>
            <a:ahLst/>
            <a:cxnLst>
              <a:cxn ang="0">
                <a:pos x="connsiteX0" y="connsiteY0"/>
              </a:cxn>
              <a:cxn ang="0">
                <a:pos x="connsiteX1" y="connsiteY1"/>
              </a:cxn>
              <a:cxn ang="0">
                <a:pos x="connsiteX2" y="connsiteY2"/>
              </a:cxn>
              <a:cxn ang="0">
                <a:pos x="connsiteX3" y="connsiteY3"/>
              </a:cxn>
            </a:cxnLst>
            <a:rect l="l" t="t" r="r" b="b"/>
            <a:pathLst>
              <a:path w="803789" h="674745">
                <a:moveTo>
                  <a:pt x="387886" y="458970"/>
                </a:moveTo>
                <a:lnTo>
                  <a:pt x="0" y="674745"/>
                </a:lnTo>
                <a:lnTo>
                  <a:pt x="803790" y="0"/>
                </a:lnTo>
                <a:lnTo>
                  <a:pt x="387886" y="45897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8" name="Freeform: Shape 37">
            <a:extLst>
              <a:ext uri="{FF2B5EF4-FFF2-40B4-BE49-F238E27FC236}">
                <a16:creationId xmlns:a16="http://schemas.microsoft.com/office/drawing/2014/main" id="{44D1516A-7DD4-4AC0-BFEF-A5FDBEE4409D}"/>
              </a:ext>
            </a:extLst>
          </xdr:cNvPr>
          <xdr:cNvSpPr/>
        </xdr:nvSpPr>
        <xdr:spPr>
          <a:xfrm>
            <a:off x="3554650" y="6041105"/>
            <a:ext cx="483665" cy="779056"/>
          </a:xfrm>
          <a:custGeom>
            <a:avLst/>
            <a:gdLst>
              <a:gd name="connsiteX0" fmla="*/ 67761 w 483665"/>
              <a:gd name="connsiteY0" fmla="*/ 458970 h 779056"/>
              <a:gd name="connsiteX1" fmla="*/ 0 w 483665"/>
              <a:gd name="connsiteY1" fmla="*/ 779056 h 779056"/>
              <a:gd name="connsiteX2" fmla="*/ 483665 w 483665"/>
              <a:gd name="connsiteY2" fmla="*/ 0 h 779056"/>
              <a:gd name="connsiteX3" fmla="*/ 67761 w 483665"/>
              <a:gd name="connsiteY3" fmla="*/ 458970 h 779056"/>
            </a:gdLst>
            <a:ahLst/>
            <a:cxnLst>
              <a:cxn ang="0">
                <a:pos x="connsiteX0" y="connsiteY0"/>
              </a:cxn>
              <a:cxn ang="0">
                <a:pos x="connsiteX1" y="connsiteY1"/>
              </a:cxn>
              <a:cxn ang="0">
                <a:pos x="connsiteX2" y="connsiteY2"/>
              </a:cxn>
              <a:cxn ang="0">
                <a:pos x="connsiteX3" y="connsiteY3"/>
              </a:cxn>
            </a:cxnLst>
            <a:rect l="l" t="t" r="r" b="b"/>
            <a:pathLst>
              <a:path w="483665" h="779056">
                <a:moveTo>
                  <a:pt x="67761" y="458970"/>
                </a:moveTo>
                <a:lnTo>
                  <a:pt x="0" y="779056"/>
                </a:lnTo>
                <a:lnTo>
                  <a:pt x="483665" y="0"/>
                </a:lnTo>
                <a:lnTo>
                  <a:pt x="67761" y="45897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9" name="Freeform: Shape 38">
            <a:extLst>
              <a:ext uri="{FF2B5EF4-FFF2-40B4-BE49-F238E27FC236}">
                <a16:creationId xmlns:a16="http://schemas.microsoft.com/office/drawing/2014/main" id="{F2E8BEC0-405C-4C1C-881A-A34E67854293}"/>
              </a:ext>
            </a:extLst>
          </xdr:cNvPr>
          <xdr:cNvSpPr/>
        </xdr:nvSpPr>
        <xdr:spPr>
          <a:xfrm>
            <a:off x="3277248" y="6820162"/>
            <a:ext cx="277401" cy="224914"/>
          </a:xfrm>
          <a:custGeom>
            <a:avLst/>
            <a:gdLst>
              <a:gd name="connsiteX0" fmla="*/ 0 w 277401"/>
              <a:gd name="connsiteY0" fmla="*/ 62984 h 224914"/>
              <a:gd name="connsiteX1" fmla="*/ 277402 w 277401"/>
              <a:gd name="connsiteY1" fmla="*/ 0 h 224914"/>
              <a:gd name="connsiteX2" fmla="*/ 40140 w 277401"/>
              <a:gd name="connsiteY2" fmla="*/ 224915 h 224914"/>
              <a:gd name="connsiteX3" fmla="*/ 0 w 277401"/>
              <a:gd name="connsiteY3" fmla="*/ 62984 h 224914"/>
            </a:gdLst>
            <a:ahLst/>
            <a:cxnLst>
              <a:cxn ang="0">
                <a:pos x="connsiteX0" y="connsiteY0"/>
              </a:cxn>
              <a:cxn ang="0">
                <a:pos x="connsiteX1" y="connsiteY1"/>
              </a:cxn>
              <a:cxn ang="0">
                <a:pos x="connsiteX2" y="connsiteY2"/>
              </a:cxn>
              <a:cxn ang="0">
                <a:pos x="connsiteX3" y="connsiteY3"/>
              </a:cxn>
            </a:cxnLst>
            <a:rect l="l" t="t" r="r" b="b"/>
            <a:pathLst>
              <a:path w="277401" h="224914">
                <a:moveTo>
                  <a:pt x="0" y="62984"/>
                </a:moveTo>
                <a:lnTo>
                  <a:pt x="277402" y="0"/>
                </a:lnTo>
                <a:lnTo>
                  <a:pt x="40140" y="224915"/>
                </a:lnTo>
                <a:lnTo>
                  <a:pt x="0" y="62984"/>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0" name="Freeform: Shape 39">
            <a:extLst>
              <a:ext uri="{FF2B5EF4-FFF2-40B4-BE49-F238E27FC236}">
                <a16:creationId xmlns:a16="http://schemas.microsoft.com/office/drawing/2014/main" id="{47023FBD-F875-404F-A53A-408CB65BD030}"/>
              </a:ext>
            </a:extLst>
          </xdr:cNvPr>
          <xdr:cNvSpPr/>
        </xdr:nvSpPr>
        <xdr:spPr>
          <a:xfrm>
            <a:off x="3277248" y="6500870"/>
            <a:ext cx="345361" cy="382276"/>
          </a:xfrm>
          <a:custGeom>
            <a:avLst/>
            <a:gdLst>
              <a:gd name="connsiteX0" fmla="*/ 0 w 345361"/>
              <a:gd name="connsiteY0" fmla="*/ 382276 h 382276"/>
              <a:gd name="connsiteX1" fmla="*/ 277402 w 345361"/>
              <a:gd name="connsiteY1" fmla="*/ 319292 h 382276"/>
              <a:gd name="connsiteX2" fmla="*/ 345362 w 345361"/>
              <a:gd name="connsiteY2" fmla="*/ 0 h 382276"/>
              <a:gd name="connsiteX3" fmla="*/ 0 w 345361"/>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45361" h="382276">
                <a:moveTo>
                  <a:pt x="0" y="382276"/>
                </a:moveTo>
                <a:lnTo>
                  <a:pt x="277402" y="319292"/>
                </a:lnTo>
                <a:lnTo>
                  <a:pt x="345362" y="0"/>
                </a:lnTo>
                <a:lnTo>
                  <a:pt x="0" y="382276"/>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Freeform: Shape 40">
            <a:extLst>
              <a:ext uri="{FF2B5EF4-FFF2-40B4-BE49-F238E27FC236}">
                <a16:creationId xmlns:a16="http://schemas.microsoft.com/office/drawing/2014/main" id="{7DE0A235-03F0-4E33-8047-6FAB6D709CF8}"/>
              </a:ext>
            </a:extLst>
          </xdr:cNvPr>
          <xdr:cNvSpPr/>
        </xdr:nvSpPr>
        <xdr:spPr>
          <a:xfrm>
            <a:off x="3554650" y="6292645"/>
            <a:ext cx="326881" cy="527517"/>
          </a:xfrm>
          <a:custGeom>
            <a:avLst/>
            <a:gdLst>
              <a:gd name="connsiteX0" fmla="*/ 67960 w 326881"/>
              <a:gd name="connsiteY0" fmla="*/ 208225 h 527517"/>
              <a:gd name="connsiteX1" fmla="*/ 326881 w 326881"/>
              <a:gd name="connsiteY1" fmla="*/ 0 h 527517"/>
              <a:gd name="connsiteX2" fmla="*/ 0 w 326881"/>
              <a:gd name="connsiteY2" fmla="*/ 527517 h 527517"/>
              <a:gd name="connsiteX3" fmla="*/ 67960 w 326881"/>
              <a:gd name="connsiteY3" fmla="*/ 208225 h 527517"/>
            </a:gdLst>
            <a:ahLst/>
            <a:cxnLst>
              <a:cxn ang="0">
                <a:pos x="connsiteX0" y="connsiteY0"/>
              </a:cxn>
              <a:cxn ang="0">
                <a:pos x="connsiteX1" y="connsiteY1"/>
              </a:cxn>
              <a:cxn ang="0">
                <a:pos x="connsiteX2" y="connsiteY2"/>
              </a:cxn>
              <a:cxn ang="0">
                <a:pos x="connsiteX3" y="connsiteY3"/>
              </a:cxn>
            </a:cxnLst>
            <a:rect l="l" t="t" r="r" b="b"/>
            <a:pathLst>
              <a:path w="326881" h="527517">
                <a:moveTo>
                  <a:pt x="67960" y="208225"/>
                </a:moveTo>
                <a:lnTo>
                  <a:pt x="326881" y="0"/>
                </a:lnTo>
                <a:lnTo>
                  <a:pt x="0" y="527517"/>
                </a:lnTo>
                <a:lnTo>
                  <a:pt x="67960" y="208225"/>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Freeform: Shape 41">
            <a:extLst>
              <a:ext uri="{FF2B5EF4-FFF2-40B4-BE49-F238E27FC236}">
                <a16:creationId xmlns:a16="http://schemas.microsoft.com/office/drawing/2014/main" id="{AE6DCF32-3FCC-4DB5-B228-E746D7B998C4}"/>
              </a:ext>
            </a:extLst>
          </xdr:cNvPr>
          <xdr:cNvSpPr/>
        </xdr:nvSpPr>
        <xdr:spPr>
          <a:xfrm>
            <a:off x="2290245" y="6564053"/>
            <a:ext cx="1125504" cy="388037"/>
          </a:xfrm>
          <a:custGeom>
            <a:avLst/>
            <a:gdLst>
              <a:gd name="connsiteX0" fmla="*/ 1125505 w 1125504"/>
              <a:gd name="connsiteY0" fmla="*/ 0 h 388037"/>
              <a:gd name="connsiteX1" fmla="*/ 0 w 1125504"/>
              <a:gd name="connsiteY1" fmla="*/ 126763 h 388037"/>
              <a:gd name="connsiteX2" fmla="*/ 493601 w 1125504"/>
              <a:gd name="connsiteY2" fmla="*/ 388038 h 388037"/>
              <a:gd name="connsiteX3" fmla="*/ 1125505 w 1125504"/>
              <a:gd name="connsiteY3" fmla="*/ 0 h 388037"/>
            </a:gdLst>
            <a:ahLst/>
            <a:cxnLst>
              <a:cxn ang="0">
                <a:pos x="connsiteX0" y="connsiteY0"/>
              </a:cxn>
              <a:cxn ang="0">
                <a:pos x="connsiteX1" y="connsiteY1"/>
              </a:cxn>
              <a:cxn ang="0">
                <a:pos x="connsiteX2" y="connsiteY2"/>
              </a:cxn>
              <a:cxn ang="0">
                <a:pos x="connsiteX3" y="connsiteY3"/>
              </a:cxn>
            </a:cxnLst>
            <a:rect l="l" t="t" r="r" b="b"/>
            <a:pathLst>
              <a:path w="1125504" h="388037">
                <a:moveTo>
                  <a:pt x="1125505" y="0"/>
                </a:moveTo>
                <a:lnTo>
                  <a:pt x="0" y="126763"/>
                </a:lnTo>
                <a:lnTo>
                  <a:pt x="493601" y="388038"/>
                </a:lnTo>
                <a:lnTo>
                  <a:pt x="1125505" y="0"/>
                </a:lnTo>
                <a:close/>
              </a:path>
            </a:pathLst>
          </a:custGeom>
          <a:solidFill>
            <a:srgbClr val="87171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Freeform: Shape 42">
            <a:extLst>
              <a:ext uri="{FF2B5EF4-FFF2-40B4-BE49-F238E27FC236}">
                <a16:creationId xmlns:a16="http://schemas.microsoft.com/office/drawing/2014/main" id="{55F52BB3-D7AE-4D2E-B83B-C505769C3D2C}"/>
              </a:ext>
            </a:extLst>
          </xdr:cNvPr>
          <xdr:cNvSpPr/>
        </xdr:nvSpPr>
        <xdr:spPr>
          <a:xfrm>
            <a:off x="2783846" y="6623262"/>
            <a:ext cx="421865" cy="328828"/>
          </a:xfrm>
          <a:custGeom>
            <a:avLst/>
            <a:gdLst>
              <a:gd name="connsiteX0" fmla="*/ 0 w 421865"/>
              <a:gd name="connsiteY0" fmla="*/ 328829 h 328828"/>
              <a:gd name="connsiteX1" fmla="*/ 113067 w 421865"/>
              <a:gd name="connsiteY1" fmla="*/ 0 h 328828"/>
              <a:gd name="connsiteX2" fmla="*/ 421866 w 421865"/>
              <a:gd name="connsiteY2" fmla="*/ 70137 h 328828"/>
              <a:gd name="connsiteX3" fmla="*/ 0 w 421865"/>
              <a:gd name="connsiteY3" fmla="*/ 328829 h 328828"/>
            </a:gdLst>
            <a:ahLst/>
            <a:cxnLst>
              <a:cxn ang="0">
                <a:pos x="connsiteX0" y="connsiteY0"/>
              </a:cxn>
              <a:cxn ang="0">
                <a:pos x="connsiteX1" y="connsiteY1"/>
              </a:cxn>
              <a:cxn ang="0">
                <a:pos x="connsiteX2" y="connsiteY2"/>
              </a:cxn>
              <a:cxn ang="0">
                <a:pos x="connsiteX3" y="connsiteY3"/>
              </a:cxn>
            </a:cxnLst>
            <a:rect l="l" t="t" r="r" b="b"/>
            <a:pathLst>
              <a:path w="421865" h="328828">
                <a:moveTo>
                  <a:pt x="0" y="328829"/>
                </a:moveTo>
                <a:lnTo>
                  <a:pt x="113067" y="0"/>
                </a:lnTo>
                <a:lnTo>
                  <a:pt x="421866" y="70137"/>
                </a:lnTo>
                <a:lnTo>
                  <a:pt x="0" y="328829"/>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Freeform: Shape 43">
            <a:extLst>
              <a:ext uri="{FF2B5EF4-FFF2-40B4-BE49-F238E27FC236}">
                <a16:creationId xmlns:a16="http://schemas.microsoft.com/office/drawing/2014/main" id="{710DCE90-7F85-48FE-80C0-2126D85FA47F}"/>
              </a:ext>
            </a:extLst>
          </xdr:cNvPr>
          <xdr:cNvSpPr/>
        </xdr:nvSpPr>
        <xdr:spPr>
          <a:xfrm>
            <a:off x="2896913" y="6563854"/>
            <a:ext cx="519035" cy="129544"/>
          </a:xfrm>
          <a:custGeom>
            <a:avLst/>
            <a:gdLst>
              <a:gd name="connsiteX0" fmla="*/ 0 w 519035"/>
              <a:gd name="connsiteY0" fmla="*/ 59408 h 129544"/>
              <a:gd name="connsiteX1" fmla="*/ 308799 w 519035"/>
              <a:gd name="connsiteY1" fmla="*/ 129545 h 129544"/>
              <a:gd name="connsiteX2" fmla="*/ 519036 w 519035"/>
              <a:gd name="connsiteY2" fmla="*/ 0 h 129544"/>
              <a:gd name="connsiteX3" fmla="*/ 0 w 519035"/>
              <a:gd name="connsiteY3" fmla="*/ 59408 h 129544"/>
            </a:gdLst>
            <a:ahLst/>
            <a:cxnLst>
              <a:cxn ang="0">
                <a:pos x="connsiteX0" y="connsiteY0"/>
              </a:cxn>
              <a:cxn ang="0">
                <a:pos x="connsiteX1" y="connsiteY1"/>
              </a:cxn>
              <a:cxn ang="0">
                <a:pos x="connsiteX2" y="connsiteY2"/>
              </a:cxn>
              <a:cxn ang="0">
                <a:pos x="connsiteX3" y="connsiteY3"/>
              </a:cxn>
            </a:cxnLst>
            <a:rect l="l" t="t" r="r" b="b"/>
            <a:pathLst>
              <a:path w="519035" h="129544">
                <a:moveTo>
                  <a:pt x="0" y="59408"/>
                </a:moveTo>
                <a:lnTo>
                  <a:pt x="308799" y="129545"/>
                </a:lnTo>
                <a:lnTo>
                  <a:pt x="519036" y="0"/>
                </a:lnTo>
                <a:lnTo>
                  <a:pt x="0" y="59408"/>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5" name="Freeform: Shape 44">
            <a:extLst>
              <a:ext uri="{FF2B5EF4-FFF2-40B4-BE49-F238E27FC236}">
                <a16:creationId xmlns:a16="http://schemas.microsoft.com/office/drawing/2014/main" id="{070E51B7-4CDE-4D72-85C5-A5D6C238C3AA}"/>
              </a:ext>
            </a:extLst>
          </xdr:cNvPr>
          <xdr:cNvSpPr/>
        </xdr:nvSpPr>
        <xdr:spPr>
          <a:xfrm>
            <a:off x="2550359" y="6623262"/>
            <a:ext cx="346553" cy="328828"/>
          </a:xfrm>
          <a:custGeom>
            <a:avLst/>
            <a:gdLst>
              <a:gd name="connsiteX0" fmla="*/ 346554 w 346553"/>
              <a:gd name="connsiteY0" fmla="*/ 0 h 328828"/>
              <a:gd name="connsiteX1" fmla="*/ 233487 w 346553"/>
              <a:gd name="connsiteY1" fmla="*/ 328829 h 328828"/>
              <a:gd name="connsiteX2" fmla="*/ 0 w 346553"/>
              <a:gd name="connsiteY2" fmla="*/ 205245 h 328828"/>
              <a:gd name="connsiteX3" fmla="*/ 346554 w 346553"/>
              <a:gd name="connsiteY3" fmla="*/ 0 h 328828"/>
            </a:gdLst>
            <a:ahLst/>
            <a:cxnLst>
              <a:cxn ang="0">
                <a:pos x="connsiteX0" y="connsiteY0"/>
              </a:cxn>
              <a:cxn ang="0">
                <a:pos x="connsiteX1" y="connsiteY1"/>
              </a:cxn>
              <a:cxn ang="0">
                <a:pos x="connsiteX2" y="connsiteY2"/>
              </a:cxn>
              <a:cxn ang="0">
                <a:pos x="connsiteX3" y="connsiteY3"/>
              </a:cxn>
            </a:cxnLst>
            <a:rect l="l" t="t" r="r" b="b"/>
            <a:pathLst>
              <a:path w="346553" h="328828">
                <a:moveTo>
                  <a:pt x="346554" y="0"/>
                </a:moveTo>
                <a:lnTo>
                  <a:pt x="233487" y="328829"/>
                </a:lnTo>
                <a:lnTo>
                  <a:pt x="0" y="205245"/>
                </a:lnTo>
                <a:lnTo>
                  <a:pt x="346554"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6" name="Freeform: Shape 45">
            <a:extLst>
              <a:ext uri="{FF2B5EF4-FFF2-40B4-BE49-F238E27FC236}">
                <a16:creationId xmlns:a16="http://schemas.microsoft.com/office/drawing/2014/main" id="{8AC8828D-04F0-494A-8861-3DC580EAF6AF}"/>
              </a:ext>
            </a:extLst>
          </xdr:cNvPr>
          <xdr:cNvSpPr/>
        </xdr:nvSpPr>
        <xdr:spPr>
          <a:xfrm>
            <a:off x="2290245" y="6623262"/>
            <a:ext cx="606667" cy="205244"/>
          </a:xfrm>
          <a:custGeom>
            <a:avLst/>
            <a:gdLst>
              <a:gd name="connsiteX0" fmla="*/ 606668 w 606667"/>
              <a:gd name="connsiteY0" fmla="*/ 0 h 205244"/>
              <a:gd name="connsiteX1" fmla="*/ 260114 w 606667"/>
              <a:gd name="connsiteY1" fmla="*/ 205245 h 205244"/>
              <a:gd name="connsiteX2" fmla="*/ 0 w 606667"/>
              <a:gd name="connsiteY2" fmla="*/ 67554 h 205244"/>
              <a:gd name="connsiteX3" fmla="*/ 606668 w 606667"/>
              <a:gd name="connsiteY3" fmla="*/ 0 h 205244"/>
            </a:gdLst>
            <a:ahLst/>
            <a:cxnLst>
              <a:cxn ang="0">
                <a:pos x="connsiteX0" y="connsiteY0"/>
              </a:cxn>
              <a:cxn ang="0">
                <a:pos x="connsiteX1" y="connsiteY1"/>
              </a:cxn>
              <a:cxn ang="0">
                <a:pos x="connsiteX2" y="connsiteY2"/>
              </a:cxn>
              <a:cxn ang="0">
                <a:pos x="connsiteX3" y="connsiteY3"/>
              </a:cxn>
            </a:cxnLst>
            <a:rect l="l" t="t" r="r" b="b"/>
            <a:pathLst>
              <a:path w="606667" h="205244">
                <a:moveTo>
                  <a:pt x="606668" y="0"/>
                </a:moveTo>
                <a:lnTo>
                  <a:pt x="260114" y="205245"/>
                </a:lnTo>
                <a:lnTo>
                  <a:pt x="0" y="67554"/>
                </a:lnTo>
                <a:lnTo>
                  <a:pt x="606668"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7" name="Freeform: Shape 46">
            <a:extLst>
              <a:ext uri="{FF2B5EF4-FFF2-40B4-BE49-F238E27FC236}">
                <a16:creationId xmlns:a16="http://schemas.microsoft.com/office/drawing/2014/main" id="{576256E7-AAEE-497B-8119-2B607B2B55BF}"/>
              </a:ext>
            </a:extLst>
          </xdr:cNvPr>
          <xdr:cNvSpPr/>
        </xdr:nvSpPr>
        <xdr:spPr>
          <a:xfrm>
            <a:off x="2290245" y="6429938"/>
            <a:ext cx="898774" cy="260877"/>
          </a:xfrm>
          <a:custGeom>
            <a:avLst/>
            <a:gdLst>
              <a:gd name="connsiteX0" fmla="*/ 0 w 898774"/>
              <a:gd name="connsiteY0" fmla="*/ 260878 h 260877"/>
              <a:gd name="connsiteX1" fmla="*/ 606668 w 898774"/>
              <a:gd name="connsiteY1" fmla="*/ 193324 h 260877"/>
              <a:gd name="connsiteX2" fmla="*/ 898775 w 898774"/>
              <a:gd name="connsiteY2" fmla="*/ 0 h 260877"/>
              <a:gd name="connsiteX3" fmla="*/ 0 w 898774"/>
              <a:gd name="connsiteY3" fmla="*/ 260878 h 260877"/>
            </a:gdLst>
            <a:ahLst/>
            <a:cxnLst>
              <a:cxn ang="0">
                <a:pos x="connsiteX0" y="connsiteY0"/>
              </a:cxn>
              <a:cxn ang="0">
                <a:pos x="connsiteX1" y="connsiteY1"/>
              </a:cxn>
              <a:cxn ang="0">
                <a:pos x="connsiteX2" y="connsiteY2"/>
              </a:cxn>
              <a:cxn ang="0">
                <a:pos x="connsiteX3" y="connsiteY3"/>
              </a:cxn>
            </a:cxnLst>
            <a:rect l="l" t="t" r="r" b="b"/>
            <a:pathLst>
              <a:path w="898774" h="260877">
                <a:moveTo>
                  <a:pt x="0" y="260878"/>
                </a:moveTo>
                <a:lnTo>
                  <a:pt x="606668" y="193324"/>
                </a:lnTo>
                <a:lnTo>
                  <a:pt x="898775" y="0"/>
                </a:lnTo>
                <a:lnTo>
                  <a:pt x="0" y="260878"/>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8" name="Freeform: Shape 47">
            <a:extLst>
              <a:ext uri="{FF2B5EF4-FFF2-40B4-BE49-F238E27FC236}">
                <a16:creationId xmlns:a16="http://schemas.microsoft.com/office/drawing/2014/main" id="{41EB6F7D-A480-4D5F-9D21-CC17CC4551AE}"/>
              </a:ext>
            </a:extLst>
          </xdr:cNvPr>
          <xdr:cNvSpPr/>
        </xdr:nvSpPr>
        <xdr:spPr>
          <a:xfrm>
            <a:off x="2896913" y="6429938"/>
            <a:ext cx="292106" cy="193323"/>
          </a:xfrm>
          <a:custGeom>
            <a:avLst/>
            <a:gdLst>
              <a:gd name="connsiteX0" fmla="*/ 292107 w 292106"/>
              <a:gd name="connsiteY0" fmla="*/ 0 h 193323"/>
              <a:gd name="connsiteX1" fmla="*/ 278197 w 292106"/>
              <a:gd name="connsiteY1" fmla="*/ 161931 h 193323"/>
              <a:gd name="connsiteX2" fmla="*/ 0 w 292106"/>
              <a:gd name="connsiteY2" fmla="*/ 193324 h 193323"/>
              <a:gd name="connsiteX3" fmla="*/ 292107 w 292106"/>
              <a:gd name="connsiteY3" fmla="*/ 0 h 193323"/>
            </a:gdLst>
            <a:ahLst/>
            <a:cxnLst>
              <a:cxn ang="0">
                <a:pos x="connsiteX0" y="connsiteY0"/>
              </a:cxn>
              <a:cxn ang="0">
                <a:pos x="connsiteX1" y="connsiteY1"/>
              </a:cxn>
              <a:cxn ang="0">
                <a:pos x="connsiteX2" y="connsiteY2"/>
              </a:cxn>
              <a:cxn ang="0">
                <a:pos x="connsiteX3" y="connsiteY3"/>
              </a:cxn>
            </a:cxnLst>
            <a:rect l="l" t="t" r="r" b="b"/>
            <a:pathLst>
              <a:path w="292106" h="193323">
                <a:moveTo>
                  <a:pt x="292107" y="0"/>
                </a:moveTo>
                <a:lnTo>
                  <a:pt x="278197" y="161931"/>
                </a:lnTo>
                <a:lnTo>
                  <a:pt x="0" y="193324"/>
                </a:lnTo>
                <a:lnTo>
                  <a:pt x="292107"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9" name="Freeform: Shape 48">
            <a:extLst>
              <a:ext uri="{FF2B5EF4-FFF2-40B4-BE49-F238E27FC236}">
                <a16:creationId xmlns:a16="http://schemas.microsoft.com/office/drawing/2014/main" id="{9602E64E-5797-4B95-97D1-11BBB0175314}"/>
              </a:ext>
            </a:extLst>
          </xdr:cNvPr>
          <xdr:cNvSpPr/>
        </xdr:nvSpPr>
        <xdr:spPr>
          <a:xfrm>
            <a:off x="3175110" y="6174028"/>
            <a:ext cx="430609" cy="417841"/>
          </a:xfrm>
          <a:custGeom>
            <a:avLst/>
            <a:gdLst>
              <a:gd name="connsiteX0" fmla="*/ 13910 w 430609"/>
              <a:gd name="connsiteY0" fmla="*/ 255910 h 417841"/>
              <a:gd name="connsiteX1" fmla="*/ 0 w 430609"/>
              <a:gd name="connsiteY1" fmla="*/ 417841 h 417841"/>
              <a:gd name="connsiteX2" fmla="*/ 430609 w 430609"/>
              <a:gd name="connsiteY2" fmla="*/ 0 h 417841"/>
              <a:gd name="connsiteX3" fmla="*/ 13910 w 430609"/>
              <a:gd name="connsiteY3" fmla="*/ 255910 h 417841"/>
            </a:gdLst>
            <a:ahLst/>
            <a:cxnLst>
              <a:cxn ang="0">
                <a:pos x="connsiteX0" y="connsiteY0"/>
              </a:cxn>
              <a:cxn ang="0">
                <a:pos x="connsiteX1" y="connsiteY1"/>
              </a:cxn>
              <a:cxn ang="0">
                <a:pos x="connsiteX2" y="connsiteY2"/>
              </a:cxn>
              <a:cxn ang="0">
                <a:pos x="connsiteX3" y="connsiteY3"/>
              </a:cxn>
            </a:cxnLst>
            <a:rect l="l" t="t" r="r" b="b"/>
            <a:pathLst>
              <a:path w="430609" h="417841">
                <a:moveTo>
                  <a:pt x="13910" y="255910"/>
                </a:moveTo>
                <a:lnTo>
                  <a:pt x="0" y="417841"/>
                </a:lnTo>
                <a:lnTo>
                  <a:pt x="430609" y="0"/>
                </a:lnTo>
                <a:lnTo>
                  <a:pt x="13910" y="25591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0" name="Freeform: Shape 49">
            <a:extLst>
              <a:ext uri="{FF2B5EF4-FFF2-40B4-BE49-F238E27FC236}">
                <a16:creationId xmlns:a16="http://schemas.microsoft.com/office/drawing/2014/main" id="{857A5EF1-B96D-4D36-85C5-F97C09100B30}"/>
              </a:ext>
            </a:extLst>
          </xdr:cNvPr>
          <xdr:cNvSpPr/>
        </xdr:nvSpPr>
        <xdr:spPr>
          <a:xfrm>
            <a:off x="3175110" y="6174028"/>
            <a:ext cx="467172" cy="417841"/>
          </a:xfrm>
          <a:custGeom>
            <a:avLst/>
            <a:gdLst>
              <a:gd name="connsiteX0" fmla="*/ 0 w 467172"/>
              <a:gd name="connsiteY0" fmla="*/ 417841 h 417841"/>
              <a:gd name="connsiteX1" fmla="*/ 430609 w 467172"/>
              <a:gd name="connsiteY1" fmla="*/ 0 h 417841"/>
              <a:gd name="connsiteX2" fmla="*/ 467172 w 467172"/>
              <a:gd name="connsiteY2" fmla="*/ 199682 h 417841"/>
              <a:gd name="connsiteX3" fmla="*/ 0 w 467172"/>
              <a:gd name="connsiteY3" fmla="*/ 417841 h 417841"/>
            </a:gdLst>
            <a:ahLst/>
            <a:cxnLst>
              <a:cxn ang="0">
                <a:pos x="connsiteX0" y="connsiteY0"/>
              </a:cxn>
              <a:cxn ang="0">
                <a:pos x="connsiteX1" y="connsiteY1"/>
              </a:cxn>
              <a:cxn ang="0">
                <a:pos x="connsiteX2" y="connsiteY2"/>
              </a:cxn>
              <a:cxn ang="0">
                <a:pos x="connsiteX3" y="connsiteY3"/>
              </a:cxn>
            </a:cxnLst>
            <a:rect l="l" t="t" r="r" b="b"/>
            <a:pathLst>
              <a:path w="467172" h="417841">
                <a:moveTo>
                  <a:pt x="0" y="417841"/>
                </a:moveTo>
                <a:lnTo>
                  <a:pt x="430609" y="0"/>
                </a:lnTo>
                <a:lnTo>
                  <a:pt x="467172" y="199682"/>
                </a:lnTo>
                <a:lnTo>
                  <a:pt x="0" y="417841"/>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1" name="Freeform: Shape 50">
            <a:extLst>
              <a:ext uri="{FF2B5EF4-FFF2-40B4-BE49-F238E27FC236}">
                <a16:creationId xmlns:a16="http://schemas.microsoft.com/office/drawing/2014/main" id="{BD7D32CE-D84F-4159-AAE0-8773E6FC4138}"/>
              </a:ext>
            </a:extLst>
          </xdr:cNvPr>
          <xdr:cNvSpPr/>
        </xdr:nvSpPr>
        <xdr:spPr>
          <a:xfrm>
            <a:off x="3175110" y="6373709"/>
            <a:ext cx="467172" cy="218159"/>
          </a:xfrm>
          <a:custGeom>
            <a:avLst/>
            <a:gdLst>
              <a:gd name="connsiteX0" fmla="*/ 0 w 467172"/>
              <a:gd name="connsiteY0" fmla="*/ 218160 h 218159"/>
              <a:gd name="connsiteX1" fmla="*/ 241038 w 467172"/>
              <a:gd name="connsiteY1" fmla="*/ 190145 h 218159"/>
              <a:gd name="connsiteX2" fmla="*/ 467172 w 467172"/>
              <a:gd name="connsiteY2" fmla="*/ 0 h 218159"/>
              <a:gd name="connsiteX3" fmla="*/ 0 w 467172"/>
              <a:gd name="connsiteY3" fmla="*/ 218160 h 218159"/>
            </a:gdLst>
            <a:ahLst/>
            <a:cxnLst>
              <a:cxn ang="0">
                <a:pos x="connsiteX0" y="connsiteY0"/>
              </a:cxn>
              <a:cxn ang="0">
                <a:pos x="connsiteX1" y="connsiteY1"/>
              </a:cxn>
              <a:cxn ang="0">
                <a:pos x="connsiteX2" y="connsiteY2"/>
              </a:cxn>
              <a:cxn ang="0">
                <a:pos x="connsiteX3" y="connsiteY3"/>
              </a:cxn>
            </a:cxnLst>
            <a:rect l="l" t="t" r="r" b="b"/>
            <a:pathLst>
              <a:path w="467172" h="218159">
                <a:moveTo>
                  <a:pt x="0" y="218160"/>
                </a:moveTo>
                <a:lnTo>
                  <a:pt x="241038" y="190145"/>
                </a:lnTo>
                <a:lnTo>
                  <a:pt x="467172" y="0"/>
                </a:lnTo>
                <a:lnTo>
                  <a:pt x="0" y="218160"/>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2" name="Freeform: Shape 51">
            <a:extLst>
              <a:ext uri="{FF2B5EF4-FFF2-40B4-BE49-F238E27FC236}">
                <a16:creationId xmlns:a16="http://schemas.microsoft.com/office/drawing/2014/main" id="{B46AD0B5-9BED-43D4-AA12-AD064231AB14}"/>
              </a:ext>
            </a:extLst>
          </xdr:cNvPr>
          <xdr:cNvSpPr/>
        </xdr:nvSpPr>
        <xdr:spPr>
          <a:xfrm>
            <a:off x="3605719" y="5940569"/>
            <a:ext cx="91208" cy="433140"/>
          </a:xfrm>
          <a:custGeom>
            <a:avLst/>
            <a:gdLst>
              <a:gd name="connsiteX0" fmla="*/ 0 w 91208"/>
              <a:gd name="connsiteY0" fmla="*/ 233459 h 433140"/>
              <a:gd name="connsiteX1" fmla="*/ 36563 w 91208"/>
              <a:gd name="connsiteY1" fmla="*/ 433140 h 433140"/>
              <a:gd name="connsiteX2" fmla="*/ 91209 w 91208"/>
              <a:gd name="connsiteY2" fmla="*/ 0 h 433140"/>
              <a:gd name="connsiteX3" fmla="*/ 0 w 91208"/>
              <a:gd name="connsiteY3" fmla="*/ 233459 h 433140"/>
            </a:gdLst>
            <a:ahLst/>
            <a:cxnLst>
              <a:cxn ang="0">
                <a:pos x="connsiteX0" y="connsiteY0"/>
              </a:cxn>
              <a:cxn ang="0">
                <a:pos x="connsiteX1" y="connsiteY1"/>
              </a:cxn>
              <a:cxn ang="0">
                <a:pos x="connsiteX2" y="connsiteY2"/>
              </a:cxn>
              <a:cxn ang="0">
                <a:pos x="connsiteX3" y="connsiteY3"/>
              </a:cxn>
            </a:cxnLst>
            <a:rect l="l" t="t" r="r" b="b"/>
            <a:pathLst>
              <a:path w="91208" h="433140">
                <a:moveTo>
                  <a:pt x="0" y="233459"/>
                </a:moveTo>
                <a:lnTo>
                  <a:pt x="36563" y="433140"/>
                </a:lnTo>
                <a:lnTo>
                  <a:pt x="91209" y="0"/>
                </a:lnTo>
                <a:lnTo>
                  <a:pt x="0" y="233459"/>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3" name="Freeform: Shape 52">
            <a:extLst>
              <a:ext uri="{FF2B5EF4-FFF2-40B4-BE49-F238E27FC236}">
                <a16:creationId xmlns:a16="http://schemas.microsoft.com/office/drawing/2014/main" id="{5D5AC784-C7DD-4B9C-A393-C0DECBCBB3AA}"/>
              </a:ext>
            </a:extLst>
          </xdr:cNvPr>
          <xdr:cNvSpPr/>
        </xdr:nvSpPr>
        <xdr:spPr>
          <a:xfrm>
            <a:off x="3642282" y="5940569"/>
            <a:ext cx="396032" cy="433140"/>
          </a:xfrm>
          <a:custGeom>
            <a:avLst/>
            <a:gdLst>
              <a:gd name="connsiteX0" fmla="*/ 54646 w 396032"/>
              <a:gd name="connsiteY0" fmla="*/ 0 h 433140"/>
              <a:gd name="connsiteX1" fmla="*/ 396033 w 396032"/>
              <a:gd name="connsiteY1" fmla="*/ 100536 h 433140"/>
              <a:gd name="connsiteX2" fmla="*/ 0 w 396032"/>
              <a:gd name="connsiteY2" fmla="*/ 433140 h 433140"/>
              <a:gd name="connsiteX3" fmla="*/ 54646 w 396032"/>
              <a:gd name="connsiteY3" fmla="*/ 0 h 433140"/>
            </a:gdLst>
            <a:ahLst/>
            <a:cxnLst>
              <a:cxn ang="0">
                <a:pos x="connsiteX0" y="connsiteY0"/>
              </a:cxn>
              <a:cxn ang="0">
                <a:pos x="connsiteX1" y="connsiteY1"/>
              </a:cxn>
              <a:cxn ang="0">
                <a:pos x="connsiteX2" y="connsiteY2"/>
              </a:cxn>
              <a:cxn ang="0">
                <a:pos x="connsiteX3" y="connsiteY3"/>
              </a:cxn>
            </a:cxnLst>
            <a:rect l="l" t="t" r="r" b="b"/>
            <a:pathLst>
              <a:path w="396032" h="433140">
                <a:moveTo>
                  <a:pt x="54646" y="0"/>
                </a:moveTo>
                <a:lnTo>
                  <a:pt x="396033" y="100536"/>
                </a:lnTo>
                <a:lnTo>
                  <a:pt x="0" y="433140"/>
                </a:lnTo>
                <a:lnTo>
                  <a:pt x="54646" y="0"/>
                </a:lnTo>
                <a:close/>
              </a:path>
            </a:pathLst>
          </a:custGeom>
          <a:no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4" name="Freeform: Shape 53">
            <a:extLst>
              <a:ext uri="{FF2B5EF4-FFF2-40B4-BE49-F238E27FC236}">
                <a16:creationId xmlns:a16="http://schemas.microsoft.com/office/drawing/2014/main" id="{4C827216-7D63-4073-8D04-2ED741608722}"/>
              </a:ext>
            </a:extLst>
          </xdr:cNvPr>
          <xdr:cNvSpPr/>
        </xdr:nvSpPr>
        <xdr:spPr>
          <a:xfrm>
            <a:off x="3642282" y="6008322"/>
            <a:ext cx="396032" cy="365387"/>
          </a:xfrm>
          <a:custGeom>
            <a:avLst/>
            <a:gdLst>
              <a:gd name="connsiteX0" fmla="*/ 0 w 396032"/>
              <a:gd name="connsiteY0" fmla="*/ 365388 h 365387"/>
              <a:gd name="connsiteX1" fmla="*/ 283959 w 396032"/>
              <a:gd name="connsiteY1" fmla="*/ 0 h 365387"/>
              <a:gd name="connsiteX2" fmla="*/ 396033 w 396032"/>
              <a:gd name="connsiteY2" fmla="*/ 32784 h 365387"/>
              <a:gd name="connsiteX3" fmla="*/ 0 w 396032"/>
              <a:gd name="connsiteY3" fmla="*/ 365388 h 365387"/>
            </a:gdLst>
            <a:ahLst/>
            <a:cxnLst>
              <a:cxn ang="0">
                <a:pos x="connsiteX0" y="connsiteY0"/>
              </a:cxn>
              <a:cxn ang="0">
                <a:pos x="connsiteX1" y="connsiteY1"/>
              </a:cxn>
              <a:cxn ang="0">
                <a:pos x="connsiteX2" y="connsiteY2"/>
              </a:cxn>
              <a:cxn ang="0">
                <a:pos x="connsiteX3" y="connsiteY3"/>
              </a:cxn>
            </a:cxnLst>
            <a:rect l="l" t="t" r="r" b="b"/>
            <a:pathLst>
              <a:path w="396032" h="365387">
                <a:moveTo>
                  <a:pt x="0" y="365388"/>
                </a:moveTo>
                <a:lnTo>
                  <a:pt x="283959" y="0"/>
                </a:lnTo>
                <a:lnTo>
                  <a:pt x="396033" y="32784"/>
                </a:lnTo>
                <a:lnTo>
                  <a:pt x="0" y="365388"/>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5" name="Freeform: Shape 54">
            <a:extLst>
              <a:ext uri="{FF2B5EF4-FFF2-40B4-BE49-F238E27FC236}">
                <a16:creationId xmlns:a16="http://schemas.microsoft.com/office/drawing/2014/main" id="{2B96975F-D5D3-485F-9BAB-545CF736CF71}"/>
              </a:ext>
            </a:extLst>
          </xdr:cNvPr>
          <xdr:cNvSpPr/>
        </xdr:nvSpPr>
        <xdr:spPr>
          <a:xfrm>
            <a:off x="3642282" y="5940569"/>
            <a:ext cx="155194" cy="433140"/>
          </a:xfrm>
          <a:custGeom>
            <a:avLst/>
            <a:gdLst>
              <a:gd name="connsiteX0" fmla="*/ 155194 w 155194"/>
              <a:gd name="connsiteY0" fmla="*/ 29207 h 433140"/>
              <a:gd name="connsiteX1" fmla="*/ 0 w 155194"/>
              <a:gd name="connsiteY1" fmla="*/ 433140 h 433140"/>
              <a:gd name="connsiteX2" fmla="*/ 54646 w 155194"/>
              <a:gd name="connsiteY2" fmla="*/ 0 h 433140"/>
              <a:gd name="connsiteX3" fmla="*/ 155194 w 155194"/>
              <a:gd name="connsiteY3" fmla="*/ 29207 h 433140"/>
            </a:gdLst>
            <a:ahLst/>
            <a:cxnLst>
              <a:cxn ang="0">
                <a:pos x="connsiteX0" y="connsiteY0"/>
              </a:cxn>
              <a:cxn ang="0">
                <a:pos x="connsiteX1" y="connsiteY1"/>
              </a:cxn>
              <a:cxn ang="0">
                <a:pos x="connsiteX2" y="connsiteY2"/>
              </a:cxn>
              <a:cxn ang="0">
                <a:pos x="connsiteX3" y="connsiteY3"/>
              </a:cxn>
            </a:cxnLst>
            <a:rect l="l" t="t" r="r" b="b"/>
            <a:pathLst>
              <a:path w="155194" h="433140">
                <a:moveTo>
                  <a:pt x="155194" y="29207"/>
                </a:moveTo>
                <a:lnTo>
                  <a:pt x="0" y="433140"/>
                </a:lnTo>
                <a:lnTo>
                  <a:pt x="54646" y="0"/>
                </a:lnTo>
                <a:lnTo>
                  <a:pt x="155194" y="29207"/>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6" name="Freeform: Shape 55">
            <a:extLst>
              <a:ext uri="{FF2B5EF4-FFF2-40B4-BE49-F238E27FC236}">
                <a16:creationId xmlns:a16="http://schemas.microsoft.com/office/drawing/2014/main" id="{32C702B6-41BB-44E2-B537-6ADF8D27D731}"/>
              </a:ext>
            </a:extLst>
          </xdr:cNvPr>
          <xdr:cNvSpPr/>
        </xdr:nvSpPr>
        <xdr:spPr>
          <a:xfrm>
            <a:off x="3696928" y="5699759"/>
            <a:ext cx="188577" cy="240810"/>
          </a:xfrm>
          <a:custGeom>
            <a:avLst/>
            <a:gdLst>
              <a:gd name="connsiteX0" fmla="*/ 0 w 188577"/>
              <a:gd name="connsiteY0" fmla="*/ 240810 h 240810"/>
              <a:gd name="connsiteX1" fmla="*/ 111080 w 188577"/>
              <a:gd name="connsiteY1" fmla="*/ 0 h 240810"/>
              <a:gd name="connsiteX2" fmla="*/ 188578 w 188577"/>
              <a:gd name="connsiteY2" fmla="*/ 114842 h 240810"/>
              <a:gd name="connsiteX3" fmla="*/ 0 w 188577"/>
              <a:gd name="connsiteY3" fmla="*/ 240810 h 240810"/>
            </a:gdLst>
            <a:ahLst/>
            <a:cxnLst>
              <a:cxn ang="0">
                <a:pos x="connsiteX0" y="connsiteY0"/>
              </a:cxn>
              <a:cxn ang="0">
                <a:pos x="connsiteX1" y="connsiteY1"/>
              </a:cxn>
              <a:cxn ang="0">
                <a:pos x="connsiteX2" y="connsiteY2"/>
              </a:cxn>
              <a:cxn ang="0">
                <a:pos x="connsiteX3" y="connsiteY3"/>
              </a:cxn>
            </a:cxnLst>
            <a:rect l="l" t="t" r="r" b="b"/>
            <a:pathLst>
              <a:path w="188577" h="240810">
                <a:moveTo>
                  <a:pt x="0" y="240810"/>
                </a:moveTo>
                <a:lnTo>
                  <a:pt x="111080" y="0"/>
                </a:lnTo>
                <a:lnTo>
                  <a:pt x="188578" y="114842"/>
                </a:lnTo>
                <a:lnTo>
                  <a:pt x="0" y="24081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7" name="Freeform: Shape 56">
            <a:extLst>
              <a:ext uri="{FF2B5EF4-FFF2-40B4-BE49-F238E27FC236}">
                <a16:creationId xmlns:a16="http://schemas.microsoft.com/office/drawing/2014/main" id="{A4D8BCFD-A8C9-41AC-B1A9-096028387FE2}"/>
              </a:ext>
            </a:extLst>
          </xdr:cNvPr>
          <xdr:cNvSpPr/>
        </xdr:nvSpPr>
        <xdr:spPr>
          <a:xfrm>
            <a:off x="3696928" y="5875201"/>
            <a:ext cx="341387" cy="165904"/>
          </a:xfrm>
          <a:custGeom>
            <a:avLst/>
            <a:gdLst>
              <a:gd name="connsiteX0" fmla="*/ 0 w 341387"/>
              <a:gd name="connsiteY0" fmla="*/ 65368 h 165904"/>
              <a:gd name="connsiteX1" fmla="*/ 341387 w 341387"/>
              <a:gd name="connsiteY1" fmla="*/ 165905 h 165904"/>
              <a:gd name="connsiteX2" fmla="*/ 98164 w 341387"/>
              <a:gd name="connsiteY2" fmla="*/ 0 h 165904"/>
              <a:gd name="connsiteX3" fmla="*/ 0 w 341387"/>
              <a:gd name="connsiteY3" fmla="*/ 65368 h 165904"/>
            </a:gdLst>
            <a:ahLst/>
            <a:cxnLst>
              <a:cxn ang="0">
                <a:pos x="connsiteX0" y="connsiteY0"/>
              </a:cxn>
              <a:cxn ang="0">
                <a:pos x="connsiteX1" y="connsiteY1"/>
              </a:cxn>
              <a:cxn ang="0">
                <a:pos x="connsiteX2" y="connsiteY2"/>
              </a:cxn>
              <a:cxn ang="0">
                <a:pos x="connsiteX3" y="connsiteY3"/>
              </a:cxn>
            </a:cxnLst>
            <a:rect l="l" t="t" r="r" b="b"/>
            <a:pathLst>
              <a:path w="341387" h="165904">
                <a:moveTo>
                  <a:pt x="0" y="65368"/>
                </a:moveTo>
                <a:lnTo>
                  <a:pt x="341387" y="165905"/>
                </a:lnTo>
                <a:lnTo>
                  <a:pt x="98164" y="0"/>
                </a:lnTo>
                <a:lnTo>
                  <a:pt x="0" y="65368"/>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8" name="Freeform: Shape 57">
            <a:extLst>
              <a:ext uri="{FF2B5EF4-FFF2-40B4-BE49-F238E27FC236}">
                <a16:creationId xmlns:a16="http://schemas.microsoft.com/office/drawing/2014/main" id="{12A9C26B-CA86-4981-90FE-6AA63BD1A4B8}"/>
              </a:ext>
            </a:extLst>
          </xdr:cNvPr>
          <xdr:cNvSpPr/>
        </xdr:nvSpPr>
        <xdr:spPr>
          <a:xfrm>
            <a:off x="3795091" y="5814601"/>
            <a:ext cx="243223" cy="226504"/>
          </a:xfrm>
          <a:custGeom>
            <a:avLst/>
            <a:gdLst>
              <a:gd name="connsiteX0" fmla="*/ 0 w 243223"/>
              <a:gd name="connsiteY0" fmla="*/ 60600 h 226504"/>
              <a:gd name="connsiteX1" fmla="*/ 90414 w 243223"/>
              <a:gd name="connsiteY1" fmla="*/ 0 h 226504"/>
              <a:gd name="connsiteX2" fmla="*/ 243223 w 243223"/>
              <a:gd name="connsiteY2" fmla="*/ 226505 h 226504"/>
              <a:gd name="connsiteX3" fmla="*/ 0 w 243223"/>
              <a:gd name="connsiteY3" fmla="*/ 60600 h 226504"/>
            </a:gdLst>
            <a:ahLst/>
            <a:cxnLst>
              <a:cxn ang="0">
                <a:pos x="connsiteX0" y="connsiteY0"/>
              </a:cxn>
              <a:cxn ang="0">
                <a:pos x="connsiteX1" y="connsiteY1"/>
              </a:cxn>
              <a:cxn ang="0">
                <a:pos x="connsiteX2" y="connsiteY2"/>
              </a:cxn>
              <a:cxn ang="0">
                <a:pos x="connsiteX3" y="connsiteY3"/>
              </a:cxn>
            </a:cxnLst>
            <a:rect l="l" t="t" r="r" b="b"/>
            <a:pathLst>
              <a:path w="243223" h="226504">
                <a:moveTo>
                  <a:pt x="0" y="60600"/>
                </a:moveTo>
                <a:lnTo>
                  <a:pt x="90414" y="0"/>
                </a:lnTo>
                <a:lnTo>
                  <a:pt x="243223" y="226505"/>
                </a:lnTo>
                <a:lnTo>
                  <a:pt x="0" y="6060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59" name="Freeform: Shape 58">
            <a:extLst>
              <a:ext uri="{FF2B5EF4-FFF2-40B4-BE49-F238E27FC236}">
                <a16:creationId xmlns:a16="http://schemas.microsoft.com/office/drawing/2014/main" id="{4CA40BBC-898C-4220-8E6D-8AA530980F7D}"/>
              </a:ext>
            </a:extLst>
          </xdr:cNvPr>
          <xdr:cNvSpPr/>
        </xdr:nvSpPr>
        <xdr:spPr>
          <a:xfrm>
            <a:off x="2765763" y="6129919"/>
            <a:ext cx="423256" cy="300019"/>
          </a:xfrm>
          <a:custGeom>
            <a:avLst/>
            <a:gdLst>
              <a:gd name="connsiteX0" fmla="*/ 423257 w 423256"/>
              <a:gd name="connsiteY0" fmla="*/ 300019 h 300019"/>
              <a:gd name="connsiteX1" fmla="*/ 0 w 423256"/>
              <a:gd name="connsiteY1" fmla="*/ 397 h 300019"/>
              <a:gd name="connsiteX2" fmla="*/ 276210 w 423256"/>
              <a:gd name="connsiteY2" fmla="*/ 0 h 300019"/>
              <a:gd name="connsiteX3" fmla="*/ 423257 w 423256"/>
              <a:gd name="connsiteY3" fmla="*/ 300019 h 300019"/>
            </a:gdLst>
            <a:ahLst/>
            <a:cxnLst>
              <a:cxn ang="0">
                <a:pos x="connsiteX0" y="connsiteY0"/>
              </a:cxn>
              <a:cxn ang="0">
                <a:pos x="connsiteX1" y="connsiteY1"/>
              </a:cxn>
              <a:cxn ang="0">
                <a:pos x="connsiteX2" y="connsiteY2"/>
              </a:cxn>
              <a:cxn ang="0">
                <a:pos x="connsiteX3" y="connsiteY3"/>
              </a:cxn>
            </a:cxnLst>
            <a:rect l="l" t="t" r="r" b="b"/>
            <a:pathLst>
              <a:path w="423256" h="300019">
                <a:moveTo>
                  <a:pt x="423257" y="300019"/>
                </a:moveTo>
                <a:lnTo>
                  <a:pt x="0" y="397"/>
                </a:lnTo>
                <a:lnTo>
                  <a:pt x="276210" y="0"/>
                </a:lnTo>
                <a:lnTo>
                  <a:pt x="423257" y="30001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0" name="Freeform: Shape 59">
            <a:extLst>
              <a:ext uri="{FF2B5EF4-FFF2-40B4-BE49-F238E27FC236}">
                <a16:creationId xmlns:a16="http://schemas.microsoft.com/office/drawing/2014/main" id="{32568CA2-54D9-441E-9B51-C5227B64CE39}"/>
              </a:ext>
            </a:extLst>
          </xdr:cNvPr>
          <xdr:cNvSpPr/>
        </xdr:nvSpPr>
        <xdr:spPr>
          <a:xfrm>
            <a:off x="3189020" y="6129720"/>
            <a:ext cx="416699" cy="300217"/>
          </a:xfrm>
          <a:custGeom>
            <a:avLst/>
            <a:gdLst>
              <a:gd name="connsiteX0" fmla="*/ 0 w 416699"/>
              <a:gd name="connsiteY0" fmla="*/ 300218 h 300217"/>
              <a:gd name="connsiteX1" fmla="*/ 313965 w 416699"/>
              <a:gd name="connsiteY1" fmla="*/ 0 h 300217"/>
              <a:gd name="connsiteX2" fmla="*/ 416699 w 416699"/>
              <a:gd name="connsiteY2" fmla="*/ 44307 h 300217"/>
              <a:gd name="connsiteX3" fmla="*/ 0 w 416699"/>
              <a:gd name="connsiteY3" fmla="*/ 300218 h 300217"/>
            </a:gdLst>
            <a:ahLst/>
            <a:cxnLst>
              <a:cxn ang="0">
                <a:pos x="connsiteX0" y="connsiteY0"/>
              </a:cxn>
              <a:cxn ang="0">
                <a:pos x="connsiteX1" y="connsiteY1"/>
              </a:cxn>
              <a:cxn ang="0">
                <a:pos x="connsiteX2" y="connsiteY2"/>
              </a:cxn>
              <a:cxn ang="0">
                <a:pos x="connsiteX3" y="connsiteY3"/>
              </a:cxn>
            </a:cxnLst>
            <a:rect l="l" t="t" r="r" b="b"/>
            <a:pathLst>
              <a:path w="416699" h="300217">
                <a:moveTo>
                  <a:pt x="0" y="300218"/>
                </a:moveTo>
                <a:lnTo>
                  <a:pt x="313965" y="0"/>
                </a:lnTo>
                <a:lnTo>
                  <a:pt x="416699" y="44307"/>
                </a:lnTo>
                <a:lnTo>
                  <a:pt x="0" y="30021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1" name="Freeform: Shape 60">
            <a:extLst>
              <a:ext uri="{FF2B5EF4-FFF2-40B4-BE49-F238E27FC236}">
                <a16:creationId xmlns:a16="http://schemas.microsoft.com/office/drawing/2014/main" id="{80B8CAFF-B166-4EEE-855A-EB014833AAC9}"/>
              </a:ext>
            </a:extLst>
          </xdr:cNvPr>
          <xdr:cNvSpPr/>
        </xdr:nvSpPr>
        <xdr:spPr>
          <a:xfrm>
            <a:off x="3041973" y="6129720"/>
            <a:ext cx="461011" cy="205642"/>
          </a:xfrm>
          <a:custGeom>
            <a:avLst/>
            <a:gdLst>
              <a:gd name="connsiteX0" fmla="*/ 246204 w 461011"/>
              <a:gd name="connsiteY0" fmla="*/ 205642 h 205642"/>
              <a:gd name="connsiteX1" fmla="*/ 0 w 461011"/>
              <a:gd name="connsiteY1" fmla="*/ 199 h 205642"/>
              <a:gd name="connsiteX2" fmla="*/ 461012 w 461011"/>
              <a:gd name="connsiteY2" fmla="*/ 0 h 205642"/>
              <a:gd name="connsiteX3" fmla="*/ 246204 w 461011"/>
              <a:gd name="connsiteY3" fmla="*/ 205642 h 205642"/>
            </a:gdLst>
            <a:ahLst/>
            <a:cxnLst>
              <a:cxn ang="0">
                <a:pos x="connsiteX0" y="connsiteY0"/>
              </a:cxn>
              <a:cxn ang="0">
                <a:pos x="connsiteX1" y="connsiteY1"/>
              </a:cxn>
              <a:cxn ang="0">
                <a:pos x="connsiteX2" y="connsiteY2"/>
              </a:cxn>
              <a:cxn ang="0">
                <a:pos x="connsiteX3" y="connsiteY3"/>
              </a:cxn>
            </a:cxnLst>
            <a:rect l="l" t="t" r="r" b="b"/>
            <a:pathLst>
              <a:path w="461011" h="205642">
                <a:moveTo>
                  <a:pt x="246204" y="205642"/>
                </a:moveTo>
                <a:lnTo>
                  <a:pt x="0" y="199"/>
                </a:lnTo>
                <a:lnTo>
                  <a:pt x="461012" y="0"/>
                </a:lnTo>
                <a:lnTo>
                  <a:pt x="246204" y="205642"/>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2" name="Freeform: Shape 61">
            <a:extLst>
              <a:ext uri="{FF2B5EF4-FFF2-40B4-BE49-F238E27FC236}">
                <a16:creationId xmlns:a16="http://schemas.microsoft.com/office/drawing/2014/main" id="{587CA6B4-6BDF-4670-90BE-7359BFB4A53E}"/>
              </a:ext>
            </a:extLst>
          </xdr:cNvPr>
          <xdr:cNvSpPr/>
        </xdr:nvSpPr>
        <xdr:spPr>
          <a:xfrm>
            <a:off x="3041973" y="6129919"/>
            <a:ext cx="246204" cy="300019"/>
          </a:xfrm>
          <a:custGeom>
            <a:avLst/>
            <a:gdLst>
              <a:gd name="connsiteX0" fmla="*/ 246204 w 246204"/>
              <a:gd name="connsiteY0" fmla="*/ 205444 h 300019"/>
              <a:gd name="connsiteX1" fmla="*/ 147047 w 246204"/>
              <a:gd name="connsiteY1" fmla="*/ 300019 h 300019"/>
              <a:gd name="connsiteX2" fmla="*/ 0 w 246204"/>
              <a:gd name="connsiteY2" fmla="*/ 0 h 300019"/>
              <a:gd name="connsiteX3" fmla="*/ 246204 w 246204"/>
              <a:gd name="connsiteY3" fmla="*/ 205444 h 300019"/>
            </a:gdLst>
            <a:ahLst/>
            <a:cxnLst>
              <a:cxn ang="0">
                <a:pos x="connsiteX0" y="connsiteY0"/>
              </a:cxn>
              <a:cxn ang="0">
                <a:pos x="connsiteX1" y="connsiteY1"/>
              </a:cxn>
              <a:cxn ang="0">
                <a:pos x="connsiteX2" y="connsiteY2"/>
              </a:cxn>
              <a:cxn ang="0">
                <a:pos x="connsiteX3" y="connsiteY3"/>
              </a:cxn>
            </a:cxnLst>
            <a:rect l="l" t="t" r="r" b="b"/>
            <a:pathLst>
              <a:path w="246204" h="300019">
                <a:moveTo>
                  <a:pt x="246204" y="205444"/>
                </a:moveTo>
                <a:lnTo>
                  <a:pt x="147047" y="300019"/>
                </a:lnTo>
                <a:lnTo>
                  <a:pt x="0" y="0"/>
                </a:lnTo>
                <a:lnTo>
                  <a:pt x="246204" y="205444"/>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3" name="Freeform: Shape 62">
            <a:extLst>
              <a:ext uri="{FF2B5EF4-FFF2-40B4-BE49-F238E27FC236}">
                <a16:creationId xmlns:a16="http://schemas.microsoft.com/office/drawing/2014/main" id="{06A5DD7B-62D9-4558-9E3F-E5F2D5ED292B}"/>
              </a:ext>
            </a:extLst>
          </xdr:cNvPr>
          <xdr:cNvSpPr/>
        </xdr:nvSpPr>
        <xdr:spPr>
          <a:xfrm>
            <a:off x="2114186" y="6348873"/>
            <a:ext cx="1074833" cy="240810"/>
          </a:xfrm>
          <a:custGeom>
            <a:avLst/>
            <a:gdLst>
              <a:gd name="connsiteX0" fmla="*/ 1074834 w 1074833"/>
              <a:gd name="connsiteY0" fmla="*/ 81065 h 240810"/>
              <a:gd name="connsiteX1" fmla="*/ 0 w 1074833"/>
              <a:gd name="connsiteY1" fmla="*/ 240810 h 240810"/>
              <a:gd name="connsiteX2" fmla="*/ 960177 w 1074833"/>
              <a:gd name="connsiteY2" fmla="*/ 0 h 240810"/>
              <a:gd name="connsiteX3" fmla="*/ 1074834 w 1074833"/>
              <a:gd name="connsiteY3" fmla="*/ 81065 h 240810"/>
            </a:gdLst>
            <a:ahLst/>
            <a:cxnLst>
              <a:cxn ang="0">
                <a:pos x="connsiteX0" y="connsiteY0"/>
              </a:cxn>
              <a:cxn ang="0">
                <a:pos x="connsiteX1" y="connsiteY1"/>
              </a:cxn>
              <a:cxn ang="0">
                <a:pos x="connsiteX2" y="connsiteY2"/>
              </a:cxn>
              <a:cxn ang="0">
                <a:pos x="connsiteX3" y="connsiteY3"/>
              </a:cxn>
            </a:cxnLst>
            <a:rect l="l" t="t" r="r" b="b"/>
            <a:pathLst>
              <a:path w="1074833" h="240810">
                <a:moveTo>
                  <a:pt x="1074834" y="81065"/>
                </a:moveTo>
                <a:lnTo>
                  <a:pt x="0" y="240810"/>
                </a:lnTo>
                <a:lnTo>
                  <a:pt x="960177" y="0"/>
                </a:lnTo>
                <a:lnTo>
                  <a:pt x="1074834" y="81065"/>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4" name="Freeform: Shape 63">
            <a:extLst>
              <a:ext uri="{FF2B5EF4-FFF2-40B4-BE49-F238E27FC236}">
                <a16:creationId xmlns:a16="http://schemas.microsoft.com/office/drawing/2014/main" id="{038B4D89-D1B7-48A0-8930-F53BC623D814}"/>
              </a:ext>
            </a:extLst>
          </xdr:cNvPr>
          <xdr:cNvSpPr/>
        </xdr:nvSpPr>
        <xdr:spPr>
          <a:xfrm>
            <a:off x="2114186" y="6130316"/>
            <a:ext cx="960176" cy="459366"/>
          </a:xfrm>
          <a:custGeom>
            <a:avLst/>
            <a:gdLst>
              <a:gd name="connsiteX0" fmla="*/ 0 w 960176"/>
              <a:gd name="connsiteY0" fmla="*/ 459367 h 459366"/>
              <a:gd name="connsiteX1" fmla="*/ 651577 w 960176"/>
              <a:gd name="connsiteY1" fmla="*/ 0 h 459366"/>
              <a:gd name="connsiteX2" fmla="*/ 960177 w 960176"/>
              <a:gd name="connsiteY2" fmla="*/ 218557 h 459366"/>
              <a:gd name="connsiteX3" fmla="*/ 0 w 960176"/>
              <a:gd name="connsiteY3" fmla="*/ 459367 h 459366"/>
            </a:gdLst>
            <a:ahLst/>
            <a:cxnLst>
              <a:cxn ang="0">
                <a:pos x="connsiteX0" y="connsiteY0"/>
              </a:cxn>
              <a:cxn ang="0">
                <a:pos x="connsiteX1" y="connsiteY1"/>
              </a:cxn>
              <a:cxn ang="0">
                <a:pos x="connsiteX2" y="connsiteY2"/>
              </a:cxn>
              <a:cxn ang="0">
                <a:pos x="connsiteX3" y="connsiteY3"/>
              </a:cxn>
            </a:cxnLst>
            <a:rect l="l" t="t" r="r" b="b"/>
            <a:pathLst>
              <a:path w="960176" h="459366">
                <a:moveTo>
                  <a:pt x="0" y="459367"/>
                </a:moveTo>
                <a:lnTo>
                  <a:pt x="651577" y="0"/>
                </a:lnTo>
                <a:lnTo>
                  <a:pt x="960177" y="218557"/>
                </a:lnTo>
                <a:lnTo>
                  <a:pt x="0" y="459367"/>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5" name="Freeform: Shape 64">
            <a:extLst>
              <a:ext uri="{FF2B5EF4-FFF2-40B4-BE49-F238E27FC236}">
                <a16:creationId xmlns:a16="http://schemas.microsoft.com/office/drawing/2014/main" id="{13FEC1CF-D863-4B48-8189-645F98EDB526}"/>
              </a:ext>
            </a:extLst>
          </xdr:cNvPr>
          <xdr:cNvSpPr/>
        </xdr:nvSpPr>
        <xdr:spPr>
          <a:xfrm>
            <a:off x="1762665" y="6411659"/>
            <a:ext cx="601302" cy="181799"/>
          </a:xfrm>
          <a:custGeom>
            <a:avLst/>
            <a:gdLst>
              <a:gd name="connsiteX0" fmla="*/ 343573 w 601302"/>
              <a:gd name="connsiteY0" fmla="*/ 181800 h 181799"/>
              <a:gd name="connsiteX1" fmla="*/ 0 w 601302"/>
              <a:gd name="connsiteY1" fmla="*/ 0 h 181799"/>
              <a:gd name="connsiteX2" fmla="*/ 601303 w 601302"/>
              <a:gd name="connsiteY2" fmla="*/ 1788 h 181799"/>
              <a:gd name="connsiteX3" fmla="*/ 343573 w 601302"/>
              <a:gd name="connsiteY3" fmla="*/ 181800 h 181799"/>
            </a:gdLst>
            <a:ahLst/>
            <a:cxnLst>
              <a:cxn ang="0">
                <a:pos x="connsiteX0" y="connsiteY0"/>
              </a:cxn>
              <a:cxn ang="0">
                <a:pos x="connsiteX1" y="connsiteY1"/>
              </a:cxn>
              <a:cxn ang="0">
                <a:pos x="connsiteX2" y="connsiteY2"/>
              </a:cxn>
              <a:cxn ang="0">
                <a:pos x="connsiteX3" y="connsiteY3"/>
              </a:cxn>
            </a:cxnLst>
            <a:rect l="l" t="t" r="r" b="b"/>
            <a:pathLst>
              <a:path w="601302" h="181799">
                <a:moveTo>
                  <a:pt x="343573" y="181800"/>
                </a:moveTo>
                <a:lnTo>
                  <a:pt x="0" y="0"/>
                </a:lnTo>
                <a:lnTo>
                  <a:pt x="601303" y="1788"/>
                </a:lnTo>
                <a:lnTo>
                  <a:pt x="343573" y="18180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6" name="Freeform: Shape 65">
            <a:extLst>
              <a:ext uri="{FF2B5EF4-FFF2-40B4-BE49-F238E27FC236}">
                <a16:creationId xmlns:a16="http://schemas.microsoft.com/office/drawing/2014/main" id="{410811F0-75D0-4DC2-89DD-6E82B5658DD7}"/>
              </a:ext>
            </a:extLst>
          </xdr:cNvPr>
          <xdr:cNvSpPr/>
        </xdr:nvSpPr>
        <xdr:spPr>
          <a:xfrm>
            <a:off x="2364564" y="6130316"/>
            <a:ext cx="401199" cy="283528"/>
          </a:xfrm>
          <a:custGeom>
            <a:avLst/>
            <a:gdLst>
              <a:gd name="connsiteX0" fmla="*/ 0 w 401199"/>
              <a:gd name="connsiteY0" fmla="*/ 283528 h 283528"/>
              <a:gd name="connsiteX1" fmla="*/ 401200 w 401199"/>
              <a:gd name="connsiteY1" fmla="*/ 0 h 283528"/>
              <a:gd name="connsiteX2" fmla="*/ 153008 w 401199"/>
              <a:gd name="connsiteY2" fmla="*/ 0 h 283528"/>
              <a:gd name="connsiteX3" fmla="*/ 0 w 401199"/>
              <a:gd name="connsiteY3" fmla="*/ 283528 h 283528"/>
            </a:gdLst>
            <a:ahLst/>
            <a:cxnLst>
              <a:cxn ang="0">
                <a:pos x="connsiteX0" y="connsiteY0"/>
              </a:cxn>
              <a:cxn ang="0">
                <a:pos x="connsiteX1" y="connsiteY1"/>
              </a:cxn>
              <a:cxn ang="0">
                <a:pos x="connsiteX2" y="connsiteY2"/>
              </a:cxn>
              <a:cxn ang="0">
                <a:pos x="connsiteX3" y="connsiteY3"/>
              </a:cxn>
            </a:cxnLst>
            <a:rect l="l" t="t" r="r" b="b"/>
            <a:pathLst>
              <a:path w="401199" h="283528">
                <a:moveTo>
                  <a:pt x="0" y="283528"/>
                </a:moveTo>
                <a:lnTo>
                  <a:pt x="401200" y="0"/>
                </a:lnTo>
                <a:lnTo>
                  <a:pt x="153008" y="0"/>
                </a:lnTo>
                <a:lnTo>
                  <a:pt x="0" y="283528"/>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7" name="Freeform: Shape 66">
            <a:extLst>
              <a:ext uri="{FF2B5EF4-FFF2-40B4-BE49-F238E27FC236}">
                <a16:creationId xmlns:a16="http://schemas.microsoft.com/office/drawing/2014/main" id="{7515AB22-B898-4712-AE48-8172710C6BAB}"/>
              </a:ext>
            </a:extLst>
          </xdr:cNvPr>
          <xdr:cNvSpPr/>
        </xdr:nvSpPr>
        <xdr:spPr>
          <a:xfrm>
            <a:off x="1733255" y="6130316"/>
            <a:ext cx="784316" cy="283528"/>
          </a:xfrm>
          <a:custGeom>
            <a:avLst/>
            <a:gdLst>
              <a:gd name="connsiteX0" fmla="*/ 631308 w 784316"/>
              <a:gd name="connsiteY0" fmla="*/ 283528 h 283528"/>
              <a:gd name="connsiteX1" fmla="*/ 0 w 784316"/>
              <a:gd name="connsiteY1" fmla="*/ 596 h 283528"/>
              <a:gd name="connsiteX2" fmla="*/ 784316 w 784316"/>
              <a:gd name="connsiteY2" fmla="*/ 0 h 283528"/>
              <a:gd name="connsiteX3" fmla="*/ 631308 w 784316"/>
              <a:gd name="connsiteY3" fmla="*/ 283528 h 283528"/>
            </a:gdLst>
            <a:ahLst/>
            <a:cxnLst>
              <a:cxn ang="0">
                <a:pos x="connsiteX0" y="connsiteY0"/>
              </a:cxn>
              <a:cxn ang="0">
                <a:pos x="connsiteX1" y="connsiteY1"/>
              </a:cxn>
              <a:cxn ang="0">
                <a:pos x="connsiteX2" y="connsiteY2"/>
              </a:cxn>
              <a:cxn ang="0">
                <a:pos x="connsiteX3" y="connsiteY3"/>
              </a:cxn>
            </a:cxnLst>
            <a:rect l="l" t="t" r="r" b="b"/>
            <a:pathLst>
              <a:path w="784316" h="283528">
                <a:moveTo>
                  <a:pt x="631308" y="283528"/>
                </a:moveTo>
                <a:lnTo>
                  <a:pt x="0" y="596"/>
                </a:lnTo>
                <a:lnTo>
                  <a:pt x="784316" y="0"/>
                </a:lnTo>
                <a:lnTo>
                  <a:pt x="631308" y="28352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8" name="Freeform: Shape 67">
            <a:extLst>
              <a:ext uri="{FF2B5EF4-FFF2-40B4-BE49-F238E27FC236}">
                <a16:creationId xmlns:a16="http://schemas.microsoft.com/office/drawing/2014/main" id="{2DB19987-2726-4415-A1F3-2D577C5BAD7B}"/>
              </a:ext>
            </a:extLst>
          </xdr:cNvPr>
          <xdr:cNvSpPr/>
        </xdr:nvSpPr>
        <xdr:spPr>
          <a:xfrm>
            <a:off x="1232899" y="6130912"/>
            <a:ext cx="1131665" cy="282931"/>
          </a:xfrm>
          <a:custGeom>
            <a:avLst/>
            <a:gdLst>
              <a:gd name="connsiteX0" fmla="*/ 1131665 w 1131665"/>
              <a:gd name="connsiteY0" fmla="*/ 282932 h 282931"/>
              <a:gd name="connsiteX1" fmla="*/ 0 w 1131665"/>
              <a:gd name="connsiteY1" fmla="*/ 397 h 282931"/>
              <a:gd name="connsiteX2" fmla="*/ 500357 w 1131665"/>
              <a:gd name="connsiteY2" fmla="*/ 0 h 282931"/>
              <a:gd name="connsiteX3" fmla="*/ 1131665 w 1131665"/>
              <a:gd name="connsiteY3" fmla="*/ 282932 h 282931"/>
            </a:gdLst>
            <a:ahLst/>
            <a:cxnLst>
              <a:cxn ang="0">
                <a:pos x="connsiteX0" y="connsiteY0"/>
              </a:cxn>
              <a:cxn ang="0">
                <a:pos x="connsiteX1" y="connsiteY1"/>
              </a:cxn>
              <a:cxn ang="0">
                <a:pos x="connsiteX2" y="connsiteY2"/>
              </a:cxn>
              <a:cxn ang="0">
                <a:pos x="connsiteX3" y="connsiteY3"/>
              </a:cxn>
            </a:cxnLst>
            <a:rect l="l" t="t" r="r" b="b"/>
            <a:pathLst>
              <a:path w="1131665" h="282931">
                <a:moveTo>
                  <a:pt x="1131665" y="282932"/>
                </a:moveTo>
                <a:lnTo>
                  <a:pt x="0" y="397"/>
                </a:lnTo>
                <a:lnTo>
                  <a:pt x="500357" y="0"/>
                </a:lnTo>
                <a:lnTo>
                  <a:pt x="1131665" y="282932"/>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9" name="Freeform: Shape 68">
            <a:extLst>
              <a:ext uri="{FF2B5EF4-FFF2-40B4-BE49-F238E27FC236}">
                <a16:creationId xmlns:a16="http://schemas.microsoft.com/office/drawing/2014/main" id="{568C1E66-4E23-46F0-9678-628E5AF34A96}"/>
              </a:ext>
            </a:extLst>
          </xdr:cNvPr>
          <xdr:cNvSpPr/>
        </xdr:nvSpPr>
        <xdr:spPr>
          <a:xfrm>
            <a:off x="1232899" y="6131310"/>
            <a:ext cx="1131665" cy="282534"/>
          </a:xfrm>
          <a:custGeom>
            <a:avLst/>
            <a:gdLst>
              <a:gd name="connsiteX0" fmla="*/ 0 w 1131665"/>
              <a:gd name="connsiteY0" fmla="*/ 0 h 282534"/>
              <a:gd name="connsiteX1" fmla="*/ 529766 w 1131665"/>
              <a:gd name="connsiteY1" fmla="*/ 280349 h 282534"/>
              <a:gd name="connsiteX2" fmla="*/ 1131665 w 1131665"/>
              <a:gd name="connsiteY2" fmla="*/ 282535 h 282534"/>
              <a:gd name="connsiteX3" fmla="*/ 0 w 1131665"/>
              <a:gd name="connsiteY3" fmla="*/ 0 h 282534"/>
            </a:gdLst>
            <a:ahLst/>
            <a:cxnLst>
              <a:cxn ang="0">
                <a:pos x="connsiteX0" y="connsiteY0"/>
              </a:cxn>
              <a:cxn ang="0">
                <a:pos x="connsiteX1" y="connsiteY1"/>
              </a:cxn>
              <a:cxn ang="0">
                <a:pos x="connsiteX2" y="connsiteY2"/>
              </a:cxn>
              <a:cxn ang="0">
                <a:pos x="connsiteX3" y="connsiteY3"/>
              </a:cxn>
            </a:cxnLst>
            <a:rect l="l" t="t" r="r" b="b"/>
            <a:pathLst>
              <a:path w="1131665" h="282534">
                <a:moveTo>
                  <a:pt x="0" y="0"/>
                </a:moveTo>
                <a:lnTo>
                  <a:pt x="529766" y="280349"/>
                </a:lnTo>
                <a:lnTo>
                  <a:pt x="1131665" y="282535"/>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0" name="Freeform: Shape 69">
            <a:extLst>
              <a:ext uri="{FF2B5EF4-FFF2-40B4-BE49-F238E27FC236}">
                <a16:creationId xmlns:a16="http://schemas.microsoft.com/office/drawing/2014/main" id="{539EF90B-03B6-435D-98F7-77AE53EF148F}"/>
              </a:ext>
            </a:extLst>
          </xdr:cNvPr>
          <xdr:cNvSpPr/>
        </xdr:nvSpPr>
        <xdr:spPr>
          <a:xfrm>
            <a:off x="4440111" y="6712274"/>
            <a:ext cx="128566" cy="450426"/>
          </a:xfrm>
          <a:custGeom>
            <a:avLst/>
            <a:gdLst>
              <a:gd name="connsiteX0" fmla="*/ 128567 w 128566"/>
              <a:gd name="connsiteY0" fmla="*/ 450426 h 450426"/>
              <a:gd name="connsiteX1" fmla="*/ 82664 w 128566"/>
              <a:gd name="connsiteY1" fmla="*/ 0 h 450426"/>
              <a:gd name="connsiteX2" fmla="*/ 0 w 128566"/>
              <a:gd name="connsiteY2" fmla="*/ 329028 h 450426"/>
              <a:gd name="connsiteX3" fmla="*/ 128567 w 128566"/>
              <a:gd name="connsiteY3" fmla="*/ 450426 h 450426"/>
            </a:gdLst>
            <a:ahLst/>
            <a:cxnLst>
              <a:cxn ang="0">
                <a:pos x="connsiteX0" y="connsiteY0"/>
              </a:cxn>
              <a:cxn ang="0">
                <a:pos x="connsiteX1" y="connsiteY1"/>
              </a:cxn>
              <a:cxn ang="0">
                <a:pos x="connsiteX2" y="connsiteY2"/>
              </a:cxn>
              <a:cxn ang="0">
                <a:pos x="connsiteX3" y="connsiteY3"/>
              </a:cxn>
            </a:cxnLst>
            <a:rect l="l" t="t" r="r" b="b"/>
            <a:pathLst>
              <a:path w="128566" h="450426">
                <a:moveTo>
                  <a:pt x="128567" y="450426"/>
                </a:moveTo>
                <a:lnTo>
                  <a:pt x="82664" y="0"/>
                </a:lnTo>
                <a:lnTo>
                  <a:pt x="0" y="329028"/>
                </a:lnTo>
                <a:lnTo>
                  <a:pt x="128567" y="450426"/>
                </a:lnTo>
                <a:close/>
              </a:path>
            </a:pathLst>
          </a:custGeom>
          <a:solidFill>
            <a:srgbClr val="024F27"/>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1" name="Freeform: Shape 70">
            <a:extLst>
              <a:ext uri="{FF2B5EF4-FFF2-40B4-BE49-F238E27FC236}">
                <a16:creationId xmlns:a16="http://schemas.microsoft.com/office/drawing/2014/main" id="{B3837A6C-34F2-41FF-84C1-F3A07BAA6CF4}"/>
              </a:ext>
            </a:extLst>
          </xdr:cNvPr>
          <xdr:cNvSpPr/>
        </xdr:nvSpPr>
        <xdr:spPr>
          <a:xfrm>
            <a:off x="4522775" y="6712274"/>
            <a:ext cx="355694" cy="286508"/>
          </a:xfrm>
          <a:custGeom>
            <a:avLst/>
            <a:gdLst>
              <a:gd name="connsiteX0" fmla="*/ 0 w 355694"/>
              <a:gd name="connsiteY0" fmla="*/ 0 h 286508"/>
              <a:gd name="connsiteX1" fmla="*/ 355695 w 355694"/>
              <a:gd name="connsiteY1" fmla="*/ 286508 h 286508"/>
              <a:gd name="connsiteX2" fmla="*/ 20070 w 355694"/>
              <a:gd name="connsiteY2" fmla="*/ 197099 h 286508"/>
              <a:gd name="connsiteX3" fmla="*/ 0 w 355694"/>
              <a:gd name="connsiteY3" fmla="*/ 0 h 286508"/>
            </a:gdLst>
            <a:ahLst/>
            <a:cxnLst>
              <a:cxn ang="0">
                <a:pos x="connsiteX0" y="connsiteY0"/>
              </a:cxn>
              <a:cxn ang="0">
                <a:pos x="connsiteX1" y="connsiteY1"/>
              </a:cxn>
              <a:cxn ang="0">
                <a:pos x="connsiteX2" y="connsiteY2"/>
              </a:cxn>
              <a:cxn ang="0">
                <a:pos x="connsiteX3" y="connsiteY3"/>
              </a:cxn>
            </a:cxnLst>
            <a:rect l="l" t="t" r="r" b="b"/>
            <a:pathLst>
              <a:path w="355694" h="286508">
                <a:moveTo>
                  <a:pt x="0" y="0"/>
                </a:moveTo>
                <a:lnTo>
                  <a:pt x="355695" y="286508"/>
                </a:lnTo>
                <a:lnTo>
                  <a:pt x="20070" y="197099"/>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2" name="Freeform: Shape 71">
            <a:extLst>
              <a:ext uri="{FF2B5EF4-FFF2-40B4-BE49-F238E27FC236}">
                <a16:creationId xmlns:a16="http://schemas.microsoft.com/office/drawing/2014/main" id="{9C9C8113-AE85-435D-A178-1A7B364C06EC}"/>
              </a:ext>
            </a:extLst>
          </xdr:cNvPr>
          <xdr:cNvSpPr/>
        </xdr:nvSpPr>
        <xdr:spPr>
          <a:xfrm>
            <a:off x="4542845" y="6909373"/>
            <a:ext cx="335624" cy="253327"/>
          </a:xfrm>
          <a:custGeom>
            <a:avLst/>
            <a:gdLst>
              <a:gd name="connsiteX0" fmla="*/ 335625 w 335624"/>
              <a:gd name="connsiteY0" fmla="*/ 89410 h 253327"/>
              <a:gd name="connsiteX1" fmla="*/ 25832 w 335624"/>
              <a:gd name="connsiteY1" fmla="*/ 253327 h 253327"/>
              <a:gd name="connsiteX2" fmla="*/ 0 w 335624"/>
              <a:gd name="connsiteY2" fmla="*/ 0 h 253327"/>
              <a:gd name="connsiteX3" fmla="*/ 335625 w 335624"/>
              <a:gd name="connsiteY3" fmla="*/ 89410 h 253327"/>
            </a:gdLst>
            <a:ahLst/>
            <a:cxnLst>
              <a:cxn ang="0">
                <a:pos x="connsiteX0" y="connsiteY0"/>
              </a:cxn>
              <a:cxn ang="0">
                <a:pos x="connsiteX1" y="connsiteY1"/>
              </a:cxn>
              <a:cxn ang="0">
                <a:pos x="connsiteX2" y="connsiteY2"/>
              </a:cxn>
              <a:cxn ang="0">
                <a:pos x="connsiteX3" y="connsiteY3"/>
              </a:cxn>
            </a:cxnLst>
            <a:rect l="l" t="t" r="r" b="b"/>
            <a:pathLst>
              <a:path w="335624" h="253327">
                <a:moveTo>
                  <a:pt x="335625" y="89410"/>
                </a:moveTo>
                <a:lnTo>
                  <a:pt x="25832" y="253327"/>
                </a:lnTo>
                <a:lnTo>
                  <a:pt x="0" y="0"/>
                </a:lnTo>
                <a:lnTo>
                  <a:pt x="335625" y="8941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3" name="Freeform: Shape 72">
            <a:extLst>
              <a:ext uri="{FF2B5EF4-FFF2-40B4-BE49-F238E27FC236}">
                <a16:creationId xmlns:a16="http://schemas.microsoft.com/office/drawing/2014/main" id="{7590859C-C695-4050-BBC0-B53DFC7AC506}"/>
              </a:ext>
            </a:extLst>
          </xdr:cNvPr>
          <xdr:cNvSpPr/>
        </xdr:nvSpPr>
        <xdr:spPr>
          <a:xfrm>
            <a:off x="3930613" y="6214759"/>
            <a:ext cx="592161" cy="497515"/>
          </a:xfrm>
          <a:custGeom>
            <a:avLst/>
            <a:gdLst>
              <a:gd name="connsiteX0" fmla="*/ 204276 w 592161"/>
              <a:gd name="connsiteY0" fmla="*/ 282336 h 497515"/>
              <a:gd name="connsiteX1" fmla="*/ 592162 w 592161"/>
              <a:gd name="connsiteY1" fmla="*/ 497515 h 497515"/>
              <a:gd name="connsiteX2" fmla="*/ 0 w 592161"/>
              <a:gd name="connsiteY2" fmla="*/ 0 h 497515"/>
              <a:gd name="connsiteX3" fmla="*/ 204276 w 592161"/>
              <a:gd name="connsiteY3" fmla="*/ 282336 h 497515"/>
            </a:gdLst>
            <a:ahLst/>
            <a:cxnLst>
              <a:cxn ang="0">
                <a:pos x="connsiteX0" y="connsiteY0"/>
              </a:cxn>
              <a:cxn ang="0">
                <a:pos x="connsiteX1" y="connsiteY1"/>
              </a:cxn>
              <a:cxn ang="0">
                <a:pos x="connsiteX2" y="connsiteY2"/>
              </a:cxn>
              <a:cxn ang="0">
                <a:pos x="connsiteX3" y="connsiteY3"/>
              </a:cxn>
            </a:cxnLst>
            <a:rect l="l" t="t" r="r" b="b"/>
            <a:pathLst>
              <a:path w="592161" h="497515">
                <a:moveTo>
                  <a:pt x="204276" y="282336"/>
                </a:moveTo>
                <a:lnTo>
                  <a:pt x="592162" y="497515"/>
                </a:lnTo>
                <a:lnTo>
                  <a:pt x="0" y="0"/>
                </a:lnTo>
                <a:lnTo>
                  <a:pt x="204276" y="282336"/>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4" name="Freeform: Shape 73">
            <a:extLst>
              <a:ext uri="{FF2B5EF4-FFF2-40B4-BE49-F238E27FC236}">
                <a16:creationId xmlns:a16="http://schemas.microsoft.com/office/drawing/2014/main" id="{CE460446-3EFB-42A2-BBDB-36658B41AADE}"/>
              </a:ext>
            </a:extLst>
          </xdr:cNvPr>
          <xdr:cNvSpPr/>
        </xdr:nvSpPr>
        <xdr:spPr>
          <a:xfrm>
            <a:off x="4202650" y="6816585"/>
            <a:ext cx="277600" cy="224716"/>
          </a:xfrm>
          <a:custGeom>
            <a:avLst/>
            <a:gdLst>
              <a:gd name="connsiteX0" fmla="*/ 277601 w 277600"/>
              <a:gd name="connsiteY0" fmla="*/ 62786 h 224716"/>
              <a:gd name="connsiteX1" fmla="*/ 0 w 277600"/>
              <a:gd name="connsiteY1" fmla="*/ 0 h 224716"/>
              <a:gd name="connsiteX2" fmla="*/ 237461 w 277600"/>
              <a:gd name="connsiteY2" fmla="*/ 224716 h 224716"/>
              <a:gd name="connsiteX3" fmla="*/ 277601 w 277600"/>
              <a:gd name="connsiteY3" fmla="*/ 62786 h 224716"/>
            </a:gdLst>
            <a:ahLst/>
            <a:cxnLst>
              <a:cxn ang="0">
                <a:pos x="connsiteX0" y="connsiteY0"/>
              </a:cxn>
              <a:cxn ang="0">
                <a:pos x="connsiteX1" y="connsiteY1"/>
              </a:cxn>
              <a:cxn ang="0">
                <a:pos x="connsiteX2" y="connsiteY2"/>
              </a:cxn>
              <a:cxn ang="0">
                <a:pos x="connsiteX3" y="connsiteY3"/>
              </a:cxn>
            </a:cxnLst>
            <a:rect l="l" t="t" r="r" b="b"/>
            <a:pathLst>
              <a:path w="277600" h="224716">
                <a:moveTo>
                  <a:pt x="277601" y="62786"/>
                </a:moveTo>
                <a:lnTo>
                  <a:pt x="0" y="0"/>
                </a:lnTo>
                <a:lnTo>
                  <a:pt x="237461" y="224716"/>
                </a:lnTo>
                <a:lnTo>
                  <a:pt x="277601" y="6278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5" name="Freeform: Shape 74">
            <a:extLst>
              <a:ext uri="{FF2B5EF4-FFF2-40B4-BE49-F238E27FC236}">
                <a16:creationId xmlns:a16="http://schemas.microsoft.com/office/drawing/2014/main" id="{643E2AC8-1909-4509-AF65-C5B0F18920EA}"/>
              </a:ext>
            </a:extLst>
          </xdr:cNvPr>
          <xdr:cNvSpPr/>
        </xdr:nvSpPr>
        <xdr:spPr>
          <a:xfrm>
            <a:off x="4134889" y="6497095"/>
            <a:ext cx="345361" cy="382276"/>
          </a:xfrm>
          <a:custGeom>
            <a:avLst/>
            <a:gdLst>
              <a:gd name="connsiteX0" fmla="*/ 345362 w 345361"/>
              <a:gd name="connsiteY0" fmla="*/ 382276 h 382276"/>
              <a:gd name="connsiteX1" fmla="*/ 67761 w 345361"/>
              <a:gd name="connsiteY1" fmla="*/ 319491 h 382276"/>
              <a:gd name="connsiteX2" fmla="*/ 0 w 345361"/>
              <a:gd name="connsiteY2" fmla="*/ 0 h 382276"/>
              <a:gd name="connsiteX3" fmla="*/ 345362 w 345361"/>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45361" h="382276">
                <a:moveTo>
                  <a:pt x="345362" y="382276"/>
                </a:moveTo>
                <a:lnTo>
                  <a:pt x="67761" y="319491"/>
                </a:lnTo>
                <a:lnTo>
                  <a:pt x="0" y="0"/>
                </a:lnTo>
                <a:lnTo>
                  <a:pt x="345362" y="382276"/>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Freeform: Shape 75">
            <a:extLst>
              <a:ext uri="{FF2B5EF4-FFF2-40B4-BE49-F238E27FC236}">
                <a16:creationId xmlns:a16="http://schemas.microsoft.com/office/drawing/2014/main" id="{D800C7F3-F1B4-4564-B218-FCC2C0A78613}"/>
              </a:ext>
            </a:extLst>
          </xdr:cNvPr>
          <xdr:cNvSpPr/>
        </xdr:nvSpPr>
        <xdr:spPr>
          <a:xfrm>
            <a:off x="4341550" y="6560278"/>
            <a:ext cx="1125703" cy="388236"/>
          </a:xfrm>
          <a:custGeom>
            <a:avLst/>
            <a:gdLst>
              <a:gd name="connsiteX0" fmla="*/ 0 w 1125703"/>
              <a:gd name="connsiteY0" fmla="*/ 0 h 388236"/>
              <a:gd name="connsiteX1" fmla="*/ 1125704 w 1125703"/>
              <a:gd name="connsiteY1" fmla="*/ 126962 h 388236"/>
              <a:gd name="connsiteX2" fmla="*/ 632103 w 1125703"/>
              <a:gd name="connsiteY2" fmla="*/ 388237 h 388236"/>
              <a:gd name="connsiteX3" fmla="*/ 0 w 1125703"/>
              <a:gd name="connsiteY3" fmla="*/ 0 h 388236"/>
            </a:gdLst>
            <a:ahLst/>
            <a:cxnLst>
              <a:cxn ang="0">
                <a:pos x="connsiteX0" y="connsiteY0"/>
              </a:cxn>
              <a:cxn ang="0">
                <a:pos x="connsiteX1" y="connsiteY1"/>
              </a:cxn>
              <a:cxn ang="0">
                <a:pos x="connsiteX2" y="connsiteY2"/>
              </a:cxn>
              <a:cxn ang="0">
                <a:pos x="connsiteX3" y="connsiteY3"/>
              </a:cxn>
            </a:cxnLst>
            <a:rect l="l" t="t" r="r" b="b"/>
            <a:pathLst>
              <a:path w="1125703" h="388236">
                <a:moveTo>
                  <a:pt x="0" y="0"/>
                </a:moveTo>
                <a:lnTo>
                  <a:pt x="1125704" y="126962"/>
                </a:lnTo>
                <a:lnTo>
                  <a:pt x="632103" y="388237"/>
                </a:lnTo>
                <a:lnTo>
                  <a:pt x="0" y="0"/>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7" name="Freeform: Shape 76">
            <a:extLst>
              <a:ext uri="{FF2B5EF4-FFF2-40B4-BE49-F238E27FC236}">
                <a16:creationId xmlns:a16="http://schemas.microsoft.com/office/drawing/2014/main" id="{A7B6E09D-4586-4810-B42E-4D24DFEFC5EA}"/>
              </a:ext>
            </a:extLst>
          </xdr:cNvPr>
          <xdr:cNvSpPr/>
        </xdr:nvSpPr>
        <xdr:spPr>
          <a:xfrm>
            <a:off x="4551588" y="6619487"/>
            <a:ext cx="422064" cy="329027"/>
          </a:xfrm>
          <a:custGeom>
            <a:avLst/>
            <a:gdLst>
              <a:gd name="connsiteX0" fmla="*/ 422064 w 422064"/>
              <a:gd name="connsiteY0" fmla="*/ 329028 h 329027"/>
              <a:gd name="connsiteX1" fmla="*/ 308997 w 422064"/>
              <a:gd name="connsiteY1" fmla="*/ 0 h 329027"/>
              <a:gd name="connsiteX2" fmla="*/ 0 w 422064"/>
              <a:gd name="connsiteY2" fmla="*/ 70137 h 329027"/>
              <a:gd name="connsiteX3" fmla="*/ 422064 w 422064"/>
              <a:gd name="connsiteY3" fmla="*/ 329028 h 329027"/>
            </a:gdLst>
            <a:ahLst/>
            <a:cxnLst>
              <a:cxn ang="0">
                <a:pos x="connsiteX0" y="connsiteY0"/>
              </a:cxn>
              <a:cxn ang="0">
                <a:pos x="connsiteX1" y="connsiteY1"/>
              </a:cxn>
              <a:cxn ang="0">
                <a:pos x="connsiteX2" y="connsiteY2"/>
              </a:cxn>
              <a:cxn ang="0">
                <a:pos x="connsiteX3" y="connsiteY3"/>
              </a:cxn>
            </a:cxnLst>
            <a:rect l="l" t="t" r="r" b="b"/>
            <a:pathLst>
              <a:path w="422064" h="329027">
                <a:moveTo>
                  <a:pt x="422064" y="329028"/>
                </a:moveTo>
                <a:lnTo>
                  <a:pt x="308997" y="0"/>
                </a:lnTo>
                <a:lnTo>
                  <a:pt x="0" y="70137"/>
                </a:lnTo>
                <a:lnTo>
                  <a:pt x="422064" y="329028"/>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Freeform: Shape 77">
            <a:extLst>
              <a:ext uri="{FF2B5EF4-FFF2-40B4-BE49-F238E27FC236}">
                <a16:creationId xmlns:a16="http://schemas.microsoft.com/office/drawing/2014/main" id="{177BE4C6-A4C8-4D68-83B4-9683A24D65CD}"/>
              </a:ext>
            </a:extLst>
          </xdr:cNvPr>
          <xdr:cNvSpPr/>
        </xdr:nvSpPr>
        <xdr:spPr>
          <a:xfrm>
            <a:off x="4341550" y="6560278"/>
            <a:ext cx="519035" cy="129346"/>
          </a:xfrm>
          <a:custGeom>
            <a:avLst/>
            <a:gdLst>
              <a:gd name="connsiteX0" fmla="*/ 519036 w 519035"/>
              <a:gd name="connsiteY0" fmla="*/ 59209 h 129346"/>
              <a:gd name="connsiteX1" fmla="*/ 210038 w 519035"/>
              <a:gd name="connsiteY1" fmla="*/ 129346 h 129346"/>
              <a:gd name="connsiteX2" fmla="*/ 0 w 519035"/>
              <a:gd name="connsiteY2" fmla="*/ 0 h 129346"/>
              <a:gd name="connsiteX3" fmla="*/ 519036 w 519035"/>
              <a:gd name="connsiteY3" fmla="*/ 59209 h 129346"/>
            </a:gdLst>
            <a:ahLst/>
            <a:cxnLst>
              <a:cxn ang="0">
                <a:pos x="connsiteX0" y="connsiteY0"/>
              </a:cxn>
              <a:cxn ang="0">
                <a:pos x="connsiteX1" y="connsiteY1"/>
              </a:cxn>
              <a:cxn ang="0">
                <a:pos x="connsiteX2" y="connsiteY2"/>
              </a:cxn>
              <a:cxn ang="0">
                <a:pos x="connsiteX3" y="connsiteY3"/>
              </a:cxn>
            </a:cxnLst>
            <a:rect l="l" t="t" r="r" b="b"/>
            <a:pathLst>
              <a:path w="519035" h="129346">
                <a:moveTo>
                  <a:pt x="519036" y="59209"/>
                </a:moveTo>
                <a:lnTo>
                  <a:pt x="210038" y="129346"/>
                </a:lnTo>
                <a:lnTo>
                  <a:pt x="0" y="0"/>
                </a:lnTo>
                <a:lnTo>
                  <a:pt x="519036" y="5920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9" name="Freeform: Shape 78">
            <a:extLst>
              <a:ext uri="{FF2B5EF4-FFF2-40B4-BE49-F238E27FC236}">
                <a16:creationId xmlns:a16="http://schemas.microsoft.com/office/drawing/2014/main" id="{1DE37C5E-846F-4945-AAE8-2B692DE64382}"/>
              </a:ext>
            </a:extLst>
          </xdr:cNvPr>
          <xdr:cNvSpPr/>
        </xdr:nvSpPr>
        <xdr:spPr>
          <a:xfrm>
            <a:off x="4860585" y="6619487"/>
            <a:ext cx="346553" cy="329027"/>
          </a:xfrm>
          <a:custGeom>
            <a:avLst/>
            <a:gdLst>
              <a:gd name="connsiteX0" fmla="*/ 0 w 346553"/>
              <a:gd name="connsiteY0" fmla="*/ 0 h 329027"/>
              <a:gd name="connsiteX1" fmla="*/ 113067 w 346553"/>
              <a:gd name="connsiteY1" fmla="*/ 329028 h 329027"/>
              <a:gd name="connsiteX2" fmla="*/ 346554 w 346553"/>
              <a:gd name="connsiteY2" fmla="*/ 205444 h 329027"/>
              <a:gd name="connsiteX3" fmla="*/ 0 w 346553"/>
              <a:gd name="connsiteY3" fmla="*/ 0 h 329027"/>
            </a:gdLst>
            <a:ahLst/>
            <a:cxnLst>
              <a:cxn ang="0">
                <a:pos x="connsiteX0" y="connsiteY0"/>
              </a:cxn>
              <a:cxn ang="0">
                <a:pos x="connsiteX1" y="connsiteY1"/>
              </a:cxn>
              <a:cxn ang="0">
                <a:pos x="connsiteX2" y="connsiteY2"/>
              </a:cxn>
              <a:cxn ang="0">
                <a:pos x="connsiteX3" y="connsiteY3"/>
              </a:cxn>
            </a:cxnLst>
            <a:rect l="l" t="t" r="r" b="b"/>
            <a:pathLst>
              <a:path w="346553" h="329027">
                <a:moveTo>
                  <a:pt x="0" y="0"/>
                </a:moveTo>
                <a:lnTo>
                  <a:pt x="113067" y="329028"/>
                </a:lnTo>
                <a:lnTo>
                  <a:pt x="346554" y="205444"/>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0" name="Freeform: Shape 79">
            <a:extLst>
              <a:ext uri="{FF2B5EF4-FFF2-40B4-BE49-F238E27FC236}">
                <a16:creationId xmlns:a16="http://schemas.microsoft.com/office/drawing/2014/main" id="{D3225D4E-4243-4DB4-A2FA-3E4C03C3F998}"/>
              </a:ext>
            </a:extLst>
          </xdr:cNvPr>
          <xdr:cNvSpPr/>
        </xdr:nvSpPr>
        <xdr:spPr>
          <a:xfrm>
            <a:off x="4860585" y="6619487"/>
            <a:ext cx="606667" cy="205443"/>
          </a:xfrm>
          <a:custGeom>
            <a:avLst/>
            <a:gdLst>
              <a:gd name="connsiteX0" fmla="*/ 0 w 606667"/>
              <a:gd name="connsiteY0" fmla="*/ 0 h 205443"/>
              <a:gd name="connsiteX1" fmla="*/ 346554 w 606667"/>
              <a:gd name="connsiteY1" fmla="*/ 205444 h 205443"/>
              <a:gd name="connsiteX2" fmla="*/ 606668 w 606667"/>
              <a:gd name="connsiteY2" fmla="*/ 67753 h 205443"/>
              <a:gd name="connsiteX3" fmla="*/ 0 w 606667"/>
              <a:gd name="connsiteY3" fmla="*/ 0 h 205443"/>
            </a:gdLst>
            <a:ahLst/>
            <a:cxnLst>
              <a:cxn ang="0">
                <a:pos x="connsiteX0" y="connsiteY0"/>
              </a:cxn>
              <a:cxn ang="0">
                <a:pos x="connsiteX1" y="connsiteY1"/>
              </a:cxn>
              <a:cxn ang="0">
                <a:pos x="connsiteX2" y="connsiteY2"/>
              </a:cxn>
              <a:cxn ang="0">
                <a:pos x="connsiteX3" y="connsiteY3"/>
              </a:cxn>
            </a:cxnLst>
            <a:rect l="l" t="t" r="r" b="b"/>
            <a:pathLst>
              <a:path w="606667" h="205443">
                <a:moveTo>
                  <a:pt x="0" y="0"/>
                </a:moveTo>
                <a:lnTo>
                  <a:pt x="346554" y="205444"/>
                </a:lnTo>
                <a:lnTo>
                  <a:pt x="606668" y="67753"/>
                </a:lnTo>
                <a:lnTo>
                  <a:pt x="0" y="0"/>
                </a:lnTo>
                <a:close/>
              </a:path>
            </a:pathLst>
          </a:custGeom>
          <a:solidFill>
            <a:srgbClr val="007C3B"/>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1" name="Freeform: Shape 80">
            <a:extLst>
              <a:ext uri="{FF2B5EF4-FFF2-40B4-BE49-F238E27FC236}">
                <a16:creationId xmlns:a16="http://schemas.microsoft.com/office/drawing/2014/main" id="{158FB53B-B43E-4E5A-A3C2-4FB60B787070}"/>
              </a:ext>
            </a:extLst>
          </xdr:cNvPr>
          <xdr:cNvSpPr/>
        </xdr:nvSpPr>
        <xdr:spPr>
          <a:xfrm>
            <a:off x="4568479" y="6426362"/>
            <a:ext cx="898774" cy="260877"/>
          </a:xfrm>
          <a:custGeom>
            <a:avLst/>
            <a:gdLst>
              <a:gd name="connsiteX0" fmla="*/ 898774 w 898774"/>
              <a:gd name="connsiteY0" fmla="*/ 260878 h 260877"/>
              <a:gd name="connsiteX1" fmla="*/ 292107 w 898774"/>
              <a:gd name="connsiteY1" fmla="*/ 193125 h 260877"/>
              <a:gd name="connsiteX2" fmla="*/ 0 w 898774"/>
              <a:gd name="connsiteY2" fmla="*/ 0 h 260877"/>
              <a:gd name="connsiteX3" fmla="*/ 898774 w 898774"/>
              <a:gd name="connsiteY3" fmla="*/ 260878 h 260877"/>
            </a:gdLst>
            <a:ahLst/>
            <a:cxnLst>
              <a:cxn ang="0">
                <a:pos x="connsiteX0" y="connsiteY0"/>
              </a:cxn>
              <a:cxn ang="0">
                <a:pos x="connsiteX1" y="connsiteY1"/>
              </a:cxn>
              <a:cxn ang="0">
                <a:pos x="connsiteX2" y="connsiteY2"/>
              </a:cxn>
              <a:cxn ang="0">
                <a:pos x="connsiteX3" y="connsiteY3"/>
              </a:cxn>
            </a:cxnLst>
            <a:rect l="l" t="t" r="r" b="b"/>
            <a:pathLst>
              <a:path w="898774" h="260877">
                <a:moveTo>
                  <a:pt x="898774" y="260878"/>
                </a:moveTo>
                <a:lnTo>
                  <a:pt x="292107" y="193125"/>
                </a:lnTo>
                <a:lnTo>
                  <a:pt x="0" y="0"/>
                </a:lnTo>
                <a:lnTo>
                  <a:pt x="898774" y="260878"/>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2" name="Freeform: Shape 81">
            <a:extLst>
              <a:ext uri="{FF2B5EF4-FFF2-40B4-BE49-F238E27FC236}">
                <a16:creationId xmlns:a16="http://schemas.microsoft.com/office/drawing/2014/main" id="{8A888332-1C30-46B7-8187-CD2142DD0EBF}"/>
              </a:ext>
            </a:extLst>
          </xdr:cNvPr>
          <xdr:cNvSpPr/>
        </xdr:nvSpPr>
        <xdr:spPr>
          <a:xfrm>
            <a:off x="4568479" y="6426362"/>
            <a:ext cx="292106" cy="193124"/>
          </a:xfrm>
          <a:custGeom>
            <a:avLst/>
            <a:gdLst>
              <a:gd name="connsiteX0" fmla="*/ 0 w 292106"/>
              <a:gd name="connsiteY0" fmla="*/ 0 h 193124"/>
              <a:gd name="connsiteX1" fmla="*/ 13910 w 292106"/>
              <a:gd name="connsiteY1" fmla="*/ 161732 h 193124"/>
              <a:gd name="connsiteX2" fmla="*/ 292107 w 292106"/>
              <a:gd name="connsiteY2" fmla="*/ 193125 h 193124"/>
              <a:gd name="connsiteX3" fmla="*/ 0 w 292106"/>
              <a:gd name="connsiteY3" fmla="*/ 0 h 193124"/>
            </a:gdLst>
            <a:ahLst/>
            <a:cxnLst>
              <a:cxn ang="0">
                <a:pos x="connsiteX0" y="connsiteY0"/>
              </a:cxn>
              <a:cxn ang="0">
                <a:pos x="connsiteX1" y="connsiteY1"/>
              </a:cxn>
              <a:cxn ang="0">
                <a:pos x="connsiteX2" y="connsiteY2"/>
              </a:cxn>
              <a:cxn ang="0">
                <a:pos x="connsiteX3" y="connsiteY3"/>
              </a:cxn>
            </a:cxnLst>
            <a:rect l="l" t="t" r="r" b="b"/>
            <a:pathLst>
              <a:path w="292106" h="193124">
                <a:moveTo>
                  <a:pt x="0" y="0"/>
                </a:moveTo>
                <a:lnTo>
                  <a:pt x="13910" y="161732"/>
                </a:lnTo>
                <a:lnTo>
                  <a:pt x="292107" y="193125"/>
                </a:lnTo>
                <a:lnTo>
                  <a:pt x="0"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3" name="Freeform: Shape 82">
            <a:extLst>
              <a:ext uri="{FF2B5EF4-FFF2-40B4-BE49-F238E27FC236}">
                <a16:creationId xmlns:a16="http://schemas.microsoft.com/office/drawing/2014/main" id="{E73B8449-C4B6-46EF-8732-5A86FF4042C3}"/>
              </a:ext>
            </a:extLst>
          </xdr:cNvPr>
          <xdr:cNvSpPr/>
        </xdr:nvSpPr>
        <xdr:spPr>
          <a:xfrm>
            <a:off x="4151581" y="6170451"/>
            <a:ext cx="430807" cy="417642"/>
          </a:xfrm>
          <a:custGeom>
            <a:avLst/>
            <a:gdLst>
              <a:gd name="connsiteX0" fmla="*/ 416898 w 430807"/>
              <a:gd name="connsiteY0" fmla="*/ 255910 h 417642"/>
              <a:gd name="connsiteX1" fmla="*/ 430808 w 430807"/>
              <a:gd name="connsiteY1" fmla="*/ 417643 h 417642"/>
              <a:gd name="connsiteX2" fmla="*/ 0 w 430807"/>
              <a:gd name="connsiteY2" fmla="*/ 0 h 417642"/>
              <a:gd name="connsiteX3" fmla="*/ 416898 w 430807"/>
              <a:gd name="connsiteY3" fmla="*/ 255910 h 417642"/>
            </a:gdLst>
            <a:ahLst/>
            <a:cxnLst>
              <a:cxn ang="0">
                <a:pos x="connsiteX0" y="connsiteY0"/>
              </a:cxn>
              <a:cxn ang="0">
                <a:pos x="connsiteX1" y="connsiteY1"/>
              </a:cxn>
              <a:cxn ang="0">
                <a:pos x="connsiteX2" y="connsiteY2"/>
              </a:cxn>
              <a:cxn ang="0">
                <a:pos x="connsiteX3" y="connsiteY3"/>
              </a:cxn>
            </a:cxnLst>
            <a:rect l="l" t="t" r="r" b="b"/>
            <a:pathLst>
              <a:path w="430807" h="417642">
                <a:moveTo>
                  <a:pt x="416898" y="255910"/>
                </a:moveTo>
                <a:lnTo>
                  <a:pt x="430808" y="417643"/>
                </a:lnTo>
                <a:lnTo>
                  <a:pt x="0" y="0"/>
                </a:lnTo>
                <a:lnTo>
                  <a:pt x="416898" y="25591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Freeform: Shape 83">
            <a:extLst>
              <a:ext uri="{FF2B5EF4-FFF2-40B4-BE49-F238E27FC236}">
                <a16:creationId xmlns:a16="http://schemas.microsoft.com/office/drawing/2014/main" id="{43021CEF-557B-42DB-9762-75E907E788CC}"/>
              </a:ext>
            </a:extLst>
          </xdr:cNvPr>
          <xdr:cNvSpPr/>
        </xdr:nvSpPr>
        <xdr:spPr>
          <a:xfrm>
            <a:off x="4115217" y="6170451"/>
            <a:ext cx="467171" cy="417642"/>
          </a:xfrm>
          <a:custGeom>
            <a:avLst/>
            <a:gdLst>
              <a:gd name="connsiteX0" fmla="*/ 467172 w 467171"/>
              <a:gd name="connsiteY0" fmla="*/ 417643 h 417642"/>
              <a:gd name="connsiteX1" fmla="*/ 36364 w 467171"/>
              <a:gd name="connsiteY1" fmla="*/ 0 h 417642"/>
              <a:gd name="connsiteX2" fmla="*/ 0 w 467171"/>
              <a:gd name="connsiteY2" fmla="*/ 199483 h 417642"/>
              <a:gd name="connsiteX3" fmla="*/ 467172 w 467171"/>
              <a:gd name="connsiteY3" fmla="*/ 417643 h 417642"/>
            </a:gdLst>
            <a:ahLst/>
            <a:cxnLst>
              <a:cxn ang="0">
                <a:pos x="connsiteX0" y="connsiteY0"/>
              </a:cxn>
              <a:cxn ang="0">
                <a:pos x="connsiteX1" y="connsiteY1"/>
              </a:cxn>
              <a:cxn ang="0">
                <a:pos x="connsiteX2" y="connsiteY2"/>
              </a:cxn>
              <a:cxn ang="0">
                <a:pos x="connsiteX3" y="connsiteY3"/>
              </a:cxn>
            </a:cxnLst>
            <a:rect l="l" t="t" r="r" b="b"/>
            <a:pathLst>
              <a:path w="467171" h="417642">
                <a:moveTo>
                  <a:pt x="467172" y="417643"/>
                </a:moveTo>
                <a:lnTo>
                  <a:pt x="36364" y="0"/>
                </a:lnTo>
                <a:lnTo>
                  <a:pt x="0" y="199483"/>
                </a:lnTo>
                <a:lnTo>
                  <a:pt x="467172" y="417643"/>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5" name="Freeform: Shape 84">
            <a:extLst>
              <a:ext uri="{FF2B5EF4-FFF2-40B4-BE49-F238E27FC236}">
                <a16:creationId xmlns:a16="http://schemas.microsoft.com/office/drawing/2014/main" id="{6AB027AB-8709-4DCC-A13C-5C675D610912}"/>
              </a:ext>
            </a:extLst>
          </xdr:cNvPr>
          <xdr:cNvSpPr/>
        </xdr:nvSpPr>
        <xdr:spPr>
          <a:xfrm>
            <a:off x="4115217" y="6369934"/>
            <a:ext cx="467171" cy="218159"/>
          </a:xfrm>
          <a:custGeom>
            <a:avLst/>
            <a:gdLst>
              <a:gd name="connsiteX0" fmla="*/ 467172 w 467171"/>
              <a:gd name="connsiteY0" fmla="*/ 218160 h 218159"/>
              <a:gd name="connsiteX1" fmla="*/ 225935 w 467171"/>
              <a:gd name="connsiteY1" fmla="*/ 190343 h 218159"/>
              <a:gd name="connsiteX2" fmla="*/ 0 w 467171"/>
              <a:gd name="connsiteY2" fmla="*/ 0 h 218159"/>
              <a:gd name="connsiteX3" fmla="*/ 467172 w 467171"/>
              <a:gd name="connsiteY3" fmla="*/ 218160 h 218159"/>
            </a:gdLst>
            <a:ahLst/>
            <a:cxnLst>
              <a:cxn ang="0">
                <a:pos x="connsiteX0" y="connsiteY0"/>
              </a:cxn>
              <a:cxn ang="0">
                <a:pos x="connsiteX1" y="connsiteY1"/>
              </a:cxn>
              <a:cxn ang="0">
                <a:pos x="connsiteX2" y="connsiteY2"/>
              </a:cxn>
              <a:cxn ang="0">
                <a:pos x="connsiteX3" y="connsiteY3"/>
              </a:cxn>
            </a:cxnLst>
            <a:rect l="l" t="t" r="r" b="b"/>
            <a:pathLst>
              <a:path w="467171" h="218159">
                <a:moveTo>
                  <a:pt x="467172" y="218160"/>
                </a:moveTo>
                <a:lnTo>
                  <a:pt x="225935" y="190343"/>
                </a:lnTo>
                <a:lnTo>
                  <a:pt x="0" y="0"/>
                </a:lnTo>
                <a:lnTo>
                  <a:pt x="467172" y="21816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6" name="Freeform: Shape 85">
            <a:extLst>
              <a:ext uri="{FF2B5EF4-FFF2-40B4-BE49-F238E27FC236}">
                <a16:creationId xmlns:a16="http://schemas.microsoft.com/office/drawing/2014/main" id="{96787965-6448-4914-8B53-746F576D1E63}"/>
              </a:ext>
            </a:extLst>
          </xdr:cNvPr>
          <xdr:cNvSpPr/>
        </xdr:nvSpPr>
        <xdr:spPr>
          <a:xfrm>
            <a:off x="4568479" y="6126343"/>
            <a:ext cx="423057" cy="300019"/>
          </a:xfrm>
          <a:custGeom>
            <a:avLst/>
            <a:gdLst>
              <a:gd name="connsiteX0" fmla="*/ 0 w 423057"/>
              <a:gd name="connsiteY0" fmla="*/ 300019 h 300019"/>
              <a:gd name="connsiteX1" fmla="*/ 423058 w 423057"/>
              <a:gd name="connsiteY1" fmla="*/ 199 h 300019"/>
              <a:gd name="connsiteX2" fmla="*/ 146848 w 423057"/>
              <a:gd name="connsiteY2" fmla="*/ 0 h 300019"/>
              <a:gd name="connsiteX3" fmla="*/ 0 w 423057"/>
              <a:gd name="connsiteY3" fmla="*/ 300019 h 300019"/>
            </a:gdLst>
            <a:ahLst/>
            <a:cxnLst>
              <a:cxn ang="0">
                <a:pos x="connsiteX0" y="connsiteY0"/>
              </a:cxn>
              <a:cxn ang="0">
                <a:pos x="connsiteX1" y="connsiteY1"/>
              </a:cxn>
              <a:cxn ang="0">
                <a:pos x="connsiteX2" y="connsiteY2"/>
              </a:cxn>
              <a:cxn ang="0">
                <a:pos x="connsiteX3" y="connsiteY3"/>
              </a:cxn>
            </a:cxnLst>
            <a:rect l="l" t="t" r="r" b="b"/>
            <a:pathLst>
              <a:path w="423057" h="300019">
                <a:moveTo>
                  <a:pt x="0" y="300019"/>
                </a:moveTo>
                <a:lnTo>
                  <a:pt x="423058" y="199"/>
                </a:lnTo>
                <a:lnTo>
                  <a:pt x="146848" y="0"/>
                </a:lnTo>
                <a:lnTo>
                  <a:pt x="0" y="30001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Freeform: Shape 86">
            <a:extLst>
              <a:ext uri="{FF2B5EF4-FFF2-40B4-BE49-F238E27FC236}">
                <a16:creationId xmlns:a16="http://schemas.microsoft.com/office/drawing/2014/main" id="{D3FE789D-6DB0-4A2B-9D56-6AC9A06FD944}"/>
              </a:ext>
            </a:extLst>
          </xdr:cNvPr>
          <xdr:cNvSpPr/>
        </xdr:nvSpPr>
        <xdr:spPr>
          <a:xfrm>
            <a:off x="4151581" y="6125945"/>
            <a:ext cx="416897" cy="300416"/>
          </a:xfrm>
          <a:custGeom>
            <a:avLst/>
            <a:gdLst>
              <a:gd name="connsiteX0" fmla="*/ 416898 w 416897"/>
              <a:gd name="connsiteY0" fmla="*/ 300417 h 300416"/>
              <a:gd name="connsiteX1" fmla="*/ 102933 w 416897"/>
              <a:gd name="connsiteY1" fmla="*/ 0 h 300416"/>
              <a:gd name="connsiteX2" fmla="*/ 0 w 416897"/>
              <a:gd name="connsiteY2" fmla="*/ 44506 h 300416"/>
              <a:gd name="connsiteX3" fmla="*/ 416898 w 416897"/>
              <a:gd name="connsiteY3" fmla="*/ 300417 h 300416"/>
            </a:gdLst>
            <a:ahLst/>
            <a:cxnLst>
              <a:cxn ang="0">
                <a:pos x="connsiteX0" y="connsiteY0"/>
              </a:cxn>
              <a:cxn ang="0">
                <a:pos x="connsiteX1" y="connsiteY1"/>
              </a:cxn>
              <a:cxn ang="0">
                <a:pos x="connsiteX2" y="connsiteY2"/>
              </a:cxn>
              <a:cxn ang="0">
                <a:pos x="connsiteX3" y="connsiteY3"/>
              </a:cxn>
            </a:cxnLst>
            <a:rect l="l" t="t" r="r" b="b"/>
            <a:pathLst>
              <a:path w="416897" h="300416">
                <a:moveTo>
                  <a:pt x="416898" y="300417"/>
                </a:moveTo>
                <a:lnTo>
                  <a:pt x="102933" y="0"/>
                </a:lnTo>
                <a:lnTo>
                  <a:pt x="0" y="44506"/>
                </a:lnTo>
                <a:lnTo>
                  <a:pt x="416898" y="300417"/>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8" name="Freeform: Shape 87">
            <a:extLst>
              <a:ext uri="{FF2B5EF4-FFF2-40B4-BE49-F238E27FC236}">
                <a16:creationId xmlns:a16="http://schemas.microsoft.com/office/drawing/2014/main" id="{44CC8A6D-6CBF-4EA4-B931-9D998C440C93}"/>
              </a:ext>
            </a:extLst>
          </xdr:cNvPr>
          <xdr:cNvSpPr/>
        </xdr:nvSpPr>
        <xdr:spPr>
          <a:xfrm>
            <a:off x="4254514" y="6125945"/>
            <a:ext cx="460813" cy="204648"/>
          </a:xfrm>
          <a:custGeom>
            <a:avLst/>
            <a:gdLst>
              <a:gd name="connsiteX0" fmla="*/ 215603 w 460813"/>
              <a:gd name="connsiteY0" fmla="*/ 204649 h 204648"/>
              <a:gd name="connsiteX1" fmla="*/ 460813 w 460813"/>
              <a:gd name="connsiteY1" fmla="*/ 397 h 204648"/>
              <a:gd name="connsiteX2" fmla="*/ 0 w 460813"/>
              <a:gd name="connsiteY2" fmla="*/ 0 h 204648"/>
              <a:gd name="connsiteX3" fmla="*/ 215603 w 460813"/>
              <a:gd name="connsiteY3" fmla="*/ 204649 h 204648"/>
            </a:gdLst>
            <a:ahLst/>
            <a:cxnLst>
              <a:cxn ang="0">
                <a:pos x="connsiteX0" y="connsiteY0"/>
              </a:cxn>
              <a:cxn ang="0">
                <a:pos x="connsiteX1" y="connsiteY1"/>
              </a:cxn>
              <a:cxn ang="0">
                <a:pos x="connsiteX2" y="connsiteY2"/>
              </a:cxn>
              <a:cxn ang="0">
                <a:pos x="connsiteX3" y="connsiteY3"/>
              </a:cxn>
            </a:cxnLst>
            <a:rect l="l" t="t" r="r" b="b"/>
            <a:pathLst>
              <a:path w="460813" h="204648">
                <a:moveTo>
                  <a:pt x="215603" y="204649"/>
                </a:moveTo>
                <a:lnTo>
                  <a:pt x="460813" y="397"/>
                </a:lnTo>
                <a:lnTo>
                  <a:pt x="0" y="0"/>
                </a:lnTo>
                <a:lnTo>
                  <a:pt x="215603" y="20464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9" name="Freeform: Shape 88">
            <a:extLst>
              <a:ext uri="{FF2B5EF4-FFF2-40B4-BE49-F238E27FC236}">
                <a16:creationId xmlns:a16="http://schemas.microsoft.com/office/drawing/2014/main" id="{7FD994C1-7EB4-45CF-BA6C-2F87B2A55EDF}"/>
              </a:ext>
            </a:extLst>
          </xdr:cNvPr>
          <xdr:cNvSpPr/>
        </xdr:nvSpPr>
        <xdr:spPr>
          <a:xfrm>
            <a:off x="4470116" y="6126343"/>
            <a:ext cx="245210" cy="300019"/>
          </a:xfrm>
          <a:custGeom>
            <a:avLst/>
            <a:gdLst>
              <a:gd name="connsiteX0" fmla="*/ 0 w 245210"/>
              <a:gd name="connsiteY0" fmla="*/ 204251 h 300019"/>
              <a:gd name="connsiteX1" fmla="*/ 98362 w 245210"/>
              <a:gd name="connsiteY1" fmla="*/ 300019 h 300019"/>
              <a:gd name="connsiteX2" fmla="*/ 245211 w 245210"/>
              <a:gd name="connsiteY2" fmla="*/ 0 h 300019"/>
              <a:gd name="connsiteX3" fmla="*/ 0 w 245210"/>
              <a:gd name="connsiteY3" fmla="*/ 204251 h 300019"/>
            </a:gdLst>
            <a:ahLst/>
            <a:cxnLst>
              <a:cxn ang="0">
                <a:pos x="connsiteX0" y="connsiteY0"/>
              </a:cxn>
              <a:cxn ang="0">
                <a:pos x="connsiteX1" y="connsiteY1"/>
              </a:cxn>
              <a:cxn ang="0">
                <a:pos x="connsiteX2" y="connsiteY2"/>
              </a:cxn>
              <a:cxn ang="0">
                <a:pos x="connsiteX3" y="connsiteY3"/>
              </a:cxn>
            </a:cxnLst>
            <a:rect l="l" t="t" r="r" b="b"/>
            <a:pathLst>
              <a:path w="245210" h="300019">
                <a:moveTo>
                  <a:pt x="0" y="204251"/>
                </a:moveTo>
                <a:lnTo>
                  <a:pt x="98362" y="300019"/>
                </a:lnTo>
                <a:lnTo>
                  <a:pt x="245211" y="0"/>
                </a:lnTo>
                <a:lnTo>
                  <a:pt x="0" y="204251"/>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Freeform: Shape 89">
            <a:extLst>
              <a:ext uri="{FF2B5EF4-FFF2-40B4-BE49-F238E27FC236}">
                <a16:creationId xmlns:a16="http://schemas.microsoft.com/office/drawing/2014/main" id="{68D24522-511D-4BBE-AA85-5CFA1AC599A9}"/>
              </a:ext>
            </a:extLst>
          </xdr:cNvPr>
          <xdr:cNvSpPr/>
        </xdr:nvSpPr>
        <xdr:spPr>
          <a:xfrm>
            <a:off x="4568479" y="6345297"/>
            <a:ext cx="1074833" cy="240810"/>
          </a:xfrm>
          <a:custGeom>
            <a:avLst/>
            <a:gdLst>
              <a:gd name="connsiteX0" fmla="*/ 0 w 1074833"/>
              <a:gd name="connsiteY0" fmla="*/ 81065 h 240810"/>
              <a:gd name="connsiteX1" fmla="*/ 1074833 w 1074833"/>
              <a:gd name="connsiteY1" fmla="*/ 240810 h 240810"/>
              <a:gd name="connsiteX2" fmla="*/ 114657 w 1074833"/>
              <a:gd name="connsiteY2" fmla="*/ 0 h 240810"/>
              <a:gd name="connsiteX3" fmla="*/ 0 w 1074833"/>
              <a:gd name="connsiteY3" fmla="*/ 81065 h 240810"/>
            </a:gdLst>
            <a:ahLst/>
            <a:cxnLst>
              <a:cxn ang="0">
                <a:pos x="connsiteX0" y="connsiteY0"/>
              </a:cxn>
              <a:cxn ang="0">
                <a:pos x="connsiteX1" y="connsiteY1"/>
              </a:cxn>
              <a:cxn ang="0">
                <a:pos x="connsiteX2" y="connsiteY2"/>
              </a:cxn>
              <a:cxn ang="0">
                <a:pos x="connsiteX3" y="connsiteY3"/>
              </a:cxn>
            </a:cxnLst>
            <a:rect l="l" t="t" r="r" b="b"/>
            <a:pathLst>
              <a:path w="1074833" h="240810">
                <a:moveTo>
                  <a:pt x="0" y="81065"/>
                </a:moveTo>
                <a:lnTo>
                  <a:pt x="1074833" y="240810"/>
                </a:lnTo>
                <a:lnTo>
                  <a:pt x="114657" y="0"/>
                </a:lnTo>
                <a:lnTo>
                  <a:pt x="0" y="81065"/>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1" name="Freeform: Shape 90">
            <a:extLst>
              <a:ext uri="{FF2B5EF4-FFF2-40B4-BE49-F238E27FC236}">
                <a16:creationId xmlns:a16="http://schemas.microsoft.com/office/drawing/2014/main" id="{2BD549BB-2116-454A-A07A-FE43A26AF07C}"/>
              </a:ext>
            </a:extLst>
          </xdr:cNvPr>
          <xdr:cNvSpPr/>
        </xdr:nvSpPr>
        <xdr:spPr>
          <a:xfrm>
            <a:off x="4683136" y="6126541"/>
            <a:ext cx="960176" cy="459565"/>
          </a:xfrm>
          <a:custGeom>
            <a:avLst/>
            <a:gdLst>
              <a:gd name="connsiteX0" fmla="*/ 960176 w 960176"/>
              <a:gd name="connsiteY0" fmla="*/ 459566 h 459565"/>
              <a:gd name="connsiteX1" fmla="*/ 308401 w 960176"/>
              <a:gd name="connsiteY1" fmla="*/ 0 h 459565"/>
              <a:gd name="connsiteX2" fmla="*/ 0 w 960176"/>
              <a:gd name="connsiteY2" fmla="*/ 218756 h 459565"/>
              <a:gd name="connsiteX3" fmla="*/ 960176 w 960176"/>
              <a:gd name="connsiteY3" fmla="*/ 459566 h 459565"/>
            </a:gdLst>
            <a:ahLst/>
            <a:cxnLst>
              <a:cxn ang="0">
                <a:pos x="connsiteX0" y="connsiteY0"/>
              </a:cxn>
              <a:cxn ang="0">
                <a:pos x="connsiteX1" y="connsiteY1"/>
              </a:cxn>
              <a:cxn ang="0">
                <a:pos x="connsiteX2" y="connsiteY2"/>
              </a:cxn>
              <a:cxn ang="0">
                <a:pos x="connsiteX3" y="connsiteY3"/>
              </a:cxn>
            </a:cxnLst>
            <a:rect l="l" t="t" r="r" b="b"/>
            <a:pathLst>
              <a:path w="960176" h="459565">
                <a:moveTo>
                  <a:pt x="960176" y="459566"/>
                </a:moveTo>
                <a:lnTo>
                  <a:pt x="308401" y="0"/>
                </a:lnTo>
                <a:lnTo>
                  <a:pt x="0" y="218756"/>
                </a:lnTo>
                <a:lnTo>
                  <a:pt x="960176" y="459566"/>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2" name="Freeform: Shape 91">
            <a:extLst>
              <a:ext uri="{FF2B5EF4-FFF2-40B4-BE49-F238E27FC236}">
                <a16:creationId xmlns:a16="http://schemas.microsoft.com/office/drawing/2014/main" id="{E2D56B37-50E7-4D4A-BB89-DDFA4CEED909}"/>
              </a:ext>
            </a:extLst>
          </xdr:cNvPr>
          <xdr:cNvSpPr/>
        </xdr:nvSpPr>
        <xdr:spPr>
          <a:xfrm>
            <a:off x="5393332" y="6407884"/>
            <a:ext cx="601302" cy="181998"/>
          </a:xfrm>
          <a:custGeom>
            <a:avLst/>
            <a:gdLst>
              <a:gd name="connsiteX0" fmla="*/ 257730 w 601302"/>
              <a:gd name="connsiteY0" fmla="*/ 181998 h 181998"/>
              <a:gd name="connsiteX1" fmla="*/ 601303 w 601302"/>
              <a:gd name="connsiteY1" fmla="*/ 0 h 181998"/>
              <a:gd name="connsiteX2" fmla="*/ 0 w 601302"/>
              <a:gd name="connsiteY2" fmla="*/ 1987 h 181998"/>
              <a:gd name="connsiteX3" fmla="*/ 257730 w 601302"/>
              <a:gd name="connsiteY3" fmla="*/ 181998 h 181998"/>
            </a:gdLst>
            <a:ahLst/>
            <a:cxnLst>
              <a:cxn ang="0">
                <a:pos x="connsiteX0" y="connsiteY0"/>
              </a:cxn>
              <a:cxn ang="0">
                <a:pos x="connsiteX1" y="connsiteY1"/>
              </a:cxn>
              <a:cxn ang="0">
                <a:pos x="connsiteX2" y="connsiteY2"/>
              </a:cxn>
              <a:cxn ang="0">
                <a:pos x="connsiteX3" y="connsiteY3"/>
              </a:cxn>
            </a:cxnLst>
            <a:rect l="l" t="t" r="r" b="b"/>
            <a:pathLst>
              <a:path w="601302" h="181998">
                <a:moveTo>
                  <a:pt x="257730" y="181998"/>
                </a:moveTo>
                <a:lnTo>
                  <a:pt x="601303" y="0"/>
                </a:lnTo>
                <a:lnTo>
                  <a:pt x="0" y="1987"/>
                </a:lnTo>
                <a:lnTo>
                  <a:pt x="257730" y="181998"/>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Freeform: Shape 92">
            <a:extLst>
              <a:ext uri="{FF2B5EF4-FFF2-40B4-BE49-F238E27FC236}">
                <a16:creationId xmlns:a16="http://schemas.microsoft.com/office/drawing/2014/main" id="{0EF20B33-50F3-4633-85A5-0C66ADC4C8D3}"/>
              </a:ext>
            </a:extLst>
          </xdr:cNvPr>
          <xdr:cNvSpPr/>
        </xdr:nvSpPr>
        <xdr:spPr>
          <a:xfrm>
            <a:off x="4991536" y="6126541"/>
            <a:ext cx="401199" cy="283527"/>
          </a:xfrm>
          <a:custGeom>
            <a:avLst/>
            <a:gdLst>
              <a:gd name="connsiteX0" fmla="*/ 401200 w 401199"/>
              <a:gd name="connsiteY0" fmla="*/ 283528 h 283527"/>
              <a:gd name="connsiteX1" fmla="*/ 0 w 401199"/>
              <a:gd name="connsiteY1" fmla="*/ 0 h 283527"/>
              <a:gd name="connsiteX2" fmla="*/ 248191 w 401199"/>
              <a:gd name="connsiteY2" fmla="*/ 199 h 283527"/>
              <a:gd name="connsiteX3" fmla="*/ 401200 w 401199"/>
              <a:gd name="connsiteY3" fmla="*/ 283528 h 283527"/>
            </a:gdLst>
            <a:ahLst/>
            <a:cxnLst>
              <a:cxn ang="0">
                <a:pos x="connsiteX0" y="connsiteY0"/>
              </a:cxn>
              <a:cxn ang="0">
                <a:pos x="connsiteX1" y="connsiteY1"/>
              </a:cxn>
              <a:cxn ang="0">
                <a:pos x="connsiteX2" y="connsiteY2"/>
              </a:cxn>
              <a:cxn ang="0">
                <a:pos x="connsiteX3" y="connsiteY3"/>
              </a:cxn>
            </a:cxnLst>
            <a:rect l="l" t="t" r="r" b="b"/>
            <a:pathLst>
              <a:path w="401199" h="283527">
                <a:moveTo>
                  <a:pt x="401200" y="283528"/>
                </a:moveTo>
                <a:lnTo>
                  <a:pt x="0" y="0"/>
                </a:lnTo>
                <a:lnTo>
                  <a:pt x="248191" y="199"/>
                </a:lnTo>
                <a:lnTo>
                  <a:pt x="401200" y="283528"/>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4" name="Freeform: Shape 93">
            <a:extLst>
              <a:ext uri="{FF2B5EF4-FFF2-40B4-BE49-F238E27FC236}">
                <a16:creationId xmlns:a16="http://schemas.microsoft.com/office/drawing/2014/main" id="{3474B394-1234-407E-8141-8A953CDB024A}"/>
              </a:ext>
            </a:extLst>
          </xdr:cNvPr>
          <xdr:cNvSpPr/>
        </xdr:nvSpPr>
        <xdr:spPr>
          <a:xfrm>
            <a:off x="5239728" y="6126740"/>
            <a:ext cx="784515" cy="283329"/>
          </a:xfrm>
          <a:custGeom>
            <a:avLst/>
            <a:gdLst>
              <a:gd name="connsiteX0" fmla="*/ 153008 w 784515"/>
              <a:gd name="connsiteY0" fmla="*/ 283329 h 283329"/>
              <a:gd name="connsiteX1" fmla="*/ 784515 w 784515"/>
              <a:gd name="connsiteY1" fmla="*/ 596 h 283329"/>
              <a:gd name="connsiteX2" fmla="*/ 0 w 784515"/>
              <a:gd name="connsiteY2" fmla="*/ 0 h 283329"/>
              <a:gd name="connsiteX3" fmla="*/ 153008 w 784515"/>
              <a:gd name="connsiteY3" fmla="*/ 283329 h 283329"/>
            </a:gdLst>
            <a:ahLst/>
            <a:cxnLst>
              <a:cxn ang="0">
                <a:pos x="connsiteX0" y="connsiteY0"/>
              </a:cxn>
              <a:cxn ang="0">
                <a:pos x="connsiteX1" y="connsiteY1"/>
              </a:cxn>
              <a:cxn ang="0">
                <a:pos x="connsiteX2" y="connsiteY2"/>
              </a:cxn>
              <a:cxn ang="0">
                <a:pos x="connsiteX3" y="connsiteY3"/>
              </a:cxn>
            </a:cxnLst>
            <a:rect l="l" t="t" r="r" b="b"/>
            <a:pathLst>
              <a:path w="784515" h="283329">
                <a:moveTo>
                  <a:pt x="153008" y="283329"/>
                </a:moveTo>
                <a:lnTo>
                  <a:pt x="784515" y="596"/>
                </a:lnTo>
                <a:lnTo>
                  <a:pt x="0" y="0"/>
                </a:lnTo>
                <a:lnTo>
                  <a:pt x="153008" y="283329"/>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5" name="Freeform: Shape 94">
            <a:extLst>
              <a:ext uri="{FF2B5EF4-FFF2-40B4-BE49-F238E27FC236}">
                <a16:creationId xmlns:a16="http://schemas.microsoft.com/office/drawing/2014/main" id="{9CF57D1C-026A-4617-A3B7-09DFEB1B422A}"/>
              </a:ext>
            </a:extLst>
          </xdr:cNvPr>
          <xdr:cNvSpPr/>
        </xdr:nvSpPr>
        <xdr:spPr>
          <a:xfrm>
            <a:off x="5392537" y="6127336"/>
            <a:ext cx="1131863" cy="282733"/>
          </a:xfrm>
          <a:custGeom>
            <a:avLst/>
            <a:gdLst>
              <a:gd name="connsiteX0" fmla="*/ 0 w 1131863"/>
              <a:gd name="connsiteY0" fmla="*/ 282733 h 282733"/>
              <a:gd name="connsiteX1" fmla="*/ 1131864 w 1131863"/>
              <a:gd name="connsiteY1" fmla="*/ 397 h 282733"/>
              <a:gd name="connsiteX2" fmla="*/ 631507 w 1131863"/>
              <a:gd name="connsiteY2" fmla="*/ 0 h 282733"/>
              <a:gd name="connsiteX3" fmla="*/ 0 w 1131863"/>
              <a:gd name="connsiteY3" fmla="*/ 282733 h 282733"/>
            </a:gdLst>
            <a:ahLst/>
            <a:cxnLst>
              <a:cxn ang="0">
                <a:pos x="connsiteX0" y="connsiteY0"/>
              </a:cxn>
              <a:cxn ang="0">
                <a:pos x="connsiteX1" y="connsiteY1"/>
              </a:cxn>
              <a:cxn ang="0">
                <a:pos x="connsiteX2" y="connsiteY2"/>
              </a:cxn>
              <a:cxn ang="0">
                <a:pos x="connsiteX3" y="connsiteY3"/>
              </a:cxn>
            </a:cxnLst>
            <a:rect l="l" t="t" r="r" b="b"/>
            <a:pathLst>
              <a:path w="1131863" h="282733">
                <a:moveTo>
                  <a:pt x="0" y="282733"/>
                </a:moveTo>
                <a:lnTo>
                  <a:pt x="1131864" y="397"/>
                </a:lnTo>
                <a:lnTo>
                  <a:pt x="631507" y="0"/>
                </a:lnTo>
                <a:lnTo>
                  <a:pt x="0" y="282733"/>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6" name="Freeform: Shape 95">
            <a:extLst>
              <a:ext uri="{FF2B5EF4-FFF2-40B4-BE49-F238E27FC236}">
                <a16:creationId xmlns:a16="http://schemas.microsoft.com/office/drawing/2014/main" id="{141D3764-22AD-4F7E-A8C4-C79AAC02A09F}"/>
              </a:ext>
            </a:extLst>
          </xdr:cNvPr>
          <xdr:cNvSpPr/>
        </xdr:nvSpPr>
        <xdr:spPr>
          <a:xfrm>
            <a:off x="5392537" y="6127733"/>
            <a:ext cx="1131863" cy="282335"/>
          </a:xfrm>
          <a:custGeom>
            <a:avLst/>
            <a:gdLst>
              <a:gd name="connsiteX0" fmla="*/ 1131864 w 1131863"/>
              <a:gd name="connsiteY0" fmla="*/ 0 h 282335"/>
              <a:gd name="connsiteX1" fmla="*/ 602098 w 1131863"/>
              <a:gd name="connsiteY1" fmla="*/ 280150 h 282335"/>
              <a:gd name="connsiteX2" fmla="*/ 0 w 1131863"/>
              <a:gd name="connsiteY2" fmla="*/ 282336 h 282335"/>
              <a:gd name="connsiteX3" fmla="*/ 1131864 w 1131863"/>
              <a:gd name="connsiteY3" fmla="*/ 0 h 282335"/>
            </a:gdLst>
            <a:ahLst/>
            <a:cxnLst>
              <a:cxn ang="0">
                <a:pos x="connsiteX0" y="connsiteY0"/>
              </a:cxn>
              <a:cxn ang="0">
                <a:pos x="connsiteX1" y="connsiteY1"/>
              </a:cxn>
              <a:cxn ang="0">
                <a:pos x="connsiteX2" y="connsiteY2"/>
              </a:cxn>
              <a:cxn ang="0">
                <a:pos x="connsiteX3" y="connsiteY3"/>
              </a:cxn>
            </a:cxnLst>
            <a:rect l="l" t="t" r="r" b="b"/>
            <a:pathLst>
              <a:path w="1131863" h="282335">
                <a:moveTo>
                  <a:pt x="1131864" y="0"/>
                </a:moveTo>
                <a:lnTo>
                  <a:pt x="602098" y="280150"/>
                </a:lnTo>
                <a:lnTo>
                  <a:pt x="0" y="282336"/>
                </a:lnTo>
                <a:lnTo>
                  <a:pt x="1131864"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7" name="Freeform: Shape 96">
            <a:extLst>
              <a:ext uri="{FF2B5EF4-FFF2-40B4-BE49-F238E27FC236}">
                <a16:creationId xmlns:a16="http://schemas.microsoft.com/office/drawing/2014/main" id="{F190CCA9-8CB3-419F-BB31-EB35907B9BEE}"/>
              </a:ext>
            </a:extLst>
          </xdr:cNvPr>
          <xdr:cNvSpPr/>
        </xdr:nvSpPr>
        <xdr:spPr>
          <a:xfrm>
            <a:off x="3881531" y="6214759"/>
            <a:ext cx="253357" cy="282335"/>
          </a:xfrm>
          <a:custGeom>
            <a:avLst/>
            <a:gdLst>
              <a:gd name="connsiteX0" fmla="*/ 0 w 253357"/>
              <a:gd name="connsiteY0" fmla="*/ 77886 h 282335"/>
              <a:gd name="connsiteX1" fmla="*/ 253358 w 253357"/>
              <a:gd name="connsiteY1" fmla="*/ 282336 h 282335"/>
              <a:gd name="connsiteX2" fmla="*/ 49082 w 253357"/>
              <a:gd name="connsiteY2" fmla="*/ 0 h 282335"/>
              <a:gd name="connsiteX3" fmla="*/ 0 w 253357"/>
              <a:gd name="connsiteY3" fmla="*/ 77886 h 282335"/>
            </a:gdLst>
            <a:ahLst/>
            <a:cxnLst>
              <a:cxn ang="0">
                <a:pos x="connsiteX0" y="connsiteY0"/>
              </a:cxn>
              <a:cxn ang="0">
                <a:pos x="connsiteX1" y="connsiteY1"/>
              </a:cxn>
              <a:cxn ang="0">
                <a:pos x="connsiteX2" y="connsiteY2"/>
              </a:cxn>
              <a:cxn ang="0">
                <a:pos x="connsiteX3" y="connsiteY3"/>
              </a:cxn>
            </a:cxnLst>
            <a:rect l="l" t="t" r="r" b="b"/>
            <a:pathLst>
              <a:path w="253357" h="282335">
                <a:moveTo>
                  <a:pt x="0" y="77886"/>
                </a:moveTo>
                <a:lnTo>
                  <a:pt x="253358" y="282336"/>
                </a:lnTo>
                <a:lnTo>
                  <a:pt x="49082" y="0"/>
                </a:lnTo>
                <a:lnTo>
                  <a:pt x="0" y="77886"/>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8" name="Freeform: Shape 97">
            <a:extLst>
              <a:ext uri="{FF2B5EF4-FFF2-40B4-BE49-F238E27FC236}">
                <a16:creationId xmlns:a16="http://schemas.microsoft.com/office/drawing/2014/main" id="{9152BCBC-167E-4F80-8F9F-168F18B3F5D6}"/>
              </a:ext>
            </a:extLst>
          </xdr:cNvPr>
          <xdr:cNvSpPr/>
        </xdr:nvSpPr>
        <xdr:spPr>
          <a:xfrm>
            <a:off x="3881531" y="6292645"/>
            <a:ext cx="327278" cy="528510"/>
          </a:xfrm>
          <a:custGeom>
            <a:avLst/>
            <a:gdLst>
              <a:gd name="connsiteX0" fmla="*/ 0 w 327278"/>
              <a:gd name="connsiteY0" fmla="*/ 0 h 528510"/>
              <a:gd name="connsiteX1" fmla="*/ 327279 w 327278"/>
              <a:gd name="connsiteY1" fmla="*/ 528511 h 528510"/>
              <a:gd name="connsiteX2" fmla="*/ 253358 w 327278"/>
              <a:gd name="connsiteY2" fmla="*/ 204450 h 528510"/>
              <a:gd name="connsiteX3" fmla="*/ 0 w 327278"/>
              <a:gd name="connsiteY3" fmla="*/ 0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0"/>
                </a:moveTo>
                <a:lnTo>
                  <a:pt x="327279" y="528511"/>
                </a:lnTo>
                <a:lnTo>
                  <a:pt x="253358" y="204450"/>
                </a:lnTo>
                <a:lnTo>
                  <a:pt x="0" y="0"/>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9" name="Freeform: Shape 98">
            <a:extLst>
              <a:ext uri="{FF2B5EF4-FFF2-40B4-BE49-F238E27FC236}">
                <a16:creationId xmlns:a16="http://schemas.microsoft.com/office/drawing/2014/main" id="{7D7082EE-9B86-49AD-8C27-E64659489183}"/>
              </a:ext>
            </a:extLst>
          </xdr:cNvPr>
          <xdr:cNvSpPr/>
        </xdr:nvSpPr>
        <xdr:spPr>
          <a:xfrm>
            <a:off x="4038315" y="6041105"/>
            <a:ext cx="113266" cy="328828"/>
          </a:xfrm>
          <a:custGeom>
            <a:avLst/>
            <a:gdLst>
              <a:gd name="connsiteX0" fmla="*/ 0 w 113266"/>
              <a:gd name="connsiteY0" fmla="*/ 0 h 328828"/>
              <a:gd name="connsiteX1" fmla="*/ 76902 w 113266"/>
              <a:gd name="connsiteY1" fmla="*/ 328829 h 328828"/>
              <a:gd name="connsiteX2" fmla="*/ 113266 w 113266"/>
              <a:gd name="connsiteY2" fmla="*/ 129346 h 328828"/>
              <a:gd name="connsiteX3" fmla="*/ 0 w 113266"/>
              <a:gd name="connsiteY3" fmla="*/ 0 h 328828"/>
            </a:gdLst>
            <a:ahLst/>
            <a:cxnLst>
              <a:cxn ang="0">
                <a:pos x="connsiteX0" y="connsiteY0"/>
              </a:cxn>
              <a:cxn ang="0">
                <a:pos x="connsiteX1" y="connsiteY1"/>
              </a:cxn>
              <a:cxn ang="0">
                <a:pos x="connsiteX2" y="connsiteY2"/>
              </a:cxn>
              <a:cxn ang="0">
                <a:pos x="connsiteX3" y="connsiteY3"/>
              </a:cxn>
            </a:cxnLst>
            <a:rect l="l" t="t" r="r" b="b"/>
            <a:pathLst>
              <a:path w="113266" h="328828">
                <a:moveTo>
                  <a:pt x="0" y="0"/>
                </a:moveTo>
                <a:lnTo>
                  <a:pt x="76902" y="328829"/>
                </a:lnTo>
                <a:lnTo>
                  <a:pt x="113266" y="129346"/>
                </a:lnTo>
                <a:lnTo>
                  <a:pt x="0"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0" name="Freeform: Shape 99">
            <a:extLst>
              <a:ext uri="{FF2B5EF4-FFF2-40B4-BE49-F238E27FC236}">
                <a16:creationId xmlns:a16="http://schemas.microsoft.com/office/drawing/2014/main" id="{6FBE8DDA-D57F-43E7-878A-E4031877F3E6}"/>
              </a:ext>
            </a:extLst>
          </xdr:cNvPr>
          <xdr:cNvSpPr/>
        </xdr:nvSpPr>
        <xdr:spPr>
          <a:xfrm>
            <a:off x="3930613" y="6041105"/>
            <a:ext cx="184603" cy="328828"/>
          </a:xfrm>
          <a:custGeom>
            <a:avLst/>
            <a:gdLst>
              <a:gd name="connsiteX0" fmla="*/ 107702 w 184603"/>
              <a:gd name="connsiteY0" fmla="*/ 0 h 328828"/>
              <a:gd name="connsiteX1" fmla="*/ 184604 w 184603"/>
              <a:gd name="connsiteY1" fmla="*/ 328829 h 328828"/>
              <a:gd name="connsiteX2" fmla="*/ 0 w 184603"/>
              <a:gd name="connsiteY2" fmla="*/ 173653 h 328828"/>
              <a:gd name="connsiteX3" fmla="*/ 107702 w 184603"/>
              <a:gd name="connsiteY3" fmla="*/ 0 h 328828"/>
            </a:gdLst>
            <a:ahLst/>
            <a:cxnLst>
              <a:cxn ang="0">
                <a:pos x="connsiteX0" y="connsiteY0"/>
              </a:cxn>
              <a:cxn ang="0">
                <a:pos x="connsiteX1" y="connsiteY1"/>
              </a:cxn>
              <a:cxn ang="0">
                <a:pos x="connsiteX2" y="connsiteY2"/>
              </a:cxn>
              <a:cxn ang="0">
                <a:pos x="connsiteX3" y="connsiteY3"/>
              </a:cxn>
            </a:cxnLst>
            <a:rect l="l" t="t" r="r" b="b"/>
            <a:pathLst>
              <a:path w="184603" h="328828">
                <a:moveTo>
                  <a:pt x="107702" y="0"/>
                </a:moveTo>
                <a:lnTo>
                  <a:pt x="184604" y="328829"/>
                </a:lnTo>
                <a:lnTo>
                  <a:pt x="0" y="173653"/>
                </a:lnTo>
                <a:lnTo>
                  <a:pt x="107702" y="0"/>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1" name="Freeform: Shape 100">
            <a:extLst>
              <a:ext uri="{FF2B5EF4-FFF2-40B4-BE49-F238E27FC236}">
                <a16:creationId xmlns:a16="http://schemas.microsoft.com/office/drawing/2014/main" id="{C156CAE3-E1C2-47B6-9FAB-B5312260D20D}"/>
              </a:ext>
            </a:extLst>
          </xdr:cNvPr>
          <xdr:cNvSpPr/>
        </xdr:nvSpPr>
        <xdr:spPr>
          <a:xfrm>
            <a:off x="3499209" y="5527497"/>
            <a:ext cx="471146" cy="234054"/>
          </a:xfrm>
          <a:custGeom>
            <a:avLst/>
            <a:gdLst>
              <a:gd name="connsiteX0" fmla="*/ 308798 w 471146"/>
              <a:gd name="connsiteY0" fmla="*/ 172263 h 234054"/>
              <a:gd name="connsiteX1" fmla="*/ 471146 w 471146"/>
              <a:gd name="connsiteY1" fmla="*/ 0 h 234054"/>
              <a:gd name="connsiteX2" fmla="*/ 0 w 471146"/>
              <a:gd name="connsiteY2" fmla="*/ 234055 h 234054"/>
              <a:gd name="connsiteX3" fmla="*/ 308798 w 471146"/>
              <a:gd name="connsiteY3" fmla="*/ 172263 h 234054"/>
            </a:gdLst>
            <a:ahLst/>
            <a:cxnLst>
              <a:cxn ang="0">
                <a:pos x="connsiteX0" y="connsiteY0"/>
              </a:cxn>
              <a:cxn ang="0">
                <a:pos x="connsiteX1" y="connsiteY1"/>
              </a:cxn>
              <a:cxn ang="0">
                <a:pos x="connsiteX2" y="connsiteY2"/>
              </a:cxn>
              <a:cxn ang="0">
                <a:pos x="connsiteX3" y="connsiteY3"/>
              </a:cxn>
            </a:cxnLst>
            <a:rect l="l" t="t" r="r" b="b"/>
            <a:pathLst>
              <a:path w="471146" h="234054">
                <a:moveTo>
                  <a:pt x="308798" y="172263"/>
                </a:moveTo>
                <a:lnTo>
                  <a:pt x="471146" y="0"/>
                </a:lnTo>
                <a:lnTo>
                  <a:pt x="0" y="234055"/>
                </a:lnTo>
                <a:lnTo>
                  <a:pt x="308798" y="172263"/>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2" name="Freeform: Shape 101">
            <a:extLst>
              <a:ext uri="{FF2B5EF4-FFF2-40B4-BE49-F238E27FC236}">
                <a16:creationId xmlns:a16="http://schemas.microsoft.com/office/drawing/2014/main" id="{A1E6F957-7013-420E-A71C-338F3B836429}"/>
              </a:ext>
            </a:extLst>
          </xdr:cNvPr>
          <xdr:cNvSpPr/>
        </xdr:nvSpPr>
        <xdr:spPr>
          <a:xfrm>
            <a:off x="3499209" y="5699759"/>
            <a:ext cx="308798" cy="253128"/>
          </a:xfrm>
          <a:custGeom>
            <a:avLst/>
            <a:gdLst>
              <a:gd name="connsiteX0" fmla="*/ 308798 w 308798"/>
              <a:gd name="connsiteY0" fmla="*/ 0 h 253128"/>
              <a:gd name="connsiteX1" fmla="*/ 37159 w 308798"/>
              <a:gd name="connsiteY1" fmla="*/ 253129 h 253128"/>
              <a:gd name="connsiteX2" fmla="*/ 0 w 308798"/>
              <a:gd name="connsiteY2" fmla="*/ 61792 h 253128"/>
              <a:gd name="connsiteX3" fmla="*/ 308798 w 308798"/>
              <a:gd name="connsiteY3" fmla="*/ 0 h 253128"/>
            </a:gdLst>
            <a:ahLst/>
            <a:cxnLst>
              <a:cxn ang="0">
                <a:pos x="connsiteX0" y="connsiteY0"/>
              </a:cxn>
              <a:cxn ang="0">
                <a:pos x="connsiteX1" y="connsiteY1"/>
              </a:cxn>
              <a:cxn ang="0">
                <a:pos x="connsiteX2" y="connsiteY2"/>
              </a:cxn>
              <a:cxn ang="0">
                <a:pos x="connsiteX3" y="connsiteY3"/>
              </a:cxn>
            </a:cxnLst>
            <a:rect l="l" t="t" r="r" b="b"/>
            <a:pathLst>
              <a:path w="308798" h="253128">
                <a:moveTo>
                  <a:pt x="308798" y="0"/>
                </a:moveTo>
                <a:lnTo>
                  <a:pt x="37159" y="253129"/>
                </a:lnTo>
                <a:lnTo>
                  <a:pt x="0" y="61792"/>
                </a:lnTo>
                <a:lnTo>
                  <a:pt x="308798"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3" name="Freeform: Shape 102">
            <a:extLst>
              <a:ext uri="{FF2B5EF4-FFF2-40B4-BE49-F238E27FC236}">
                <a16:creationId xmlns:a16="http://schemas.microsoft.com/office/drawing/2014/main" id="{112EEBDC-1387-48B5-B130-5312425996EB}"/>
              </a:ext>
            </a:extLst>
          </xdr:cNvPr>
          <xdr:cNvSpPr/>
        </xdr:nvSpPr>
        <xdr:spPr>
          <a:xfrm>
            <a:off x="3536368" y="5699759"/>
            <a:ext cx="271639" cy="253128"/>
          </a:xfrm>
          <a:custGeom>
            <a:avLst/>
            <a:gdLst>
              <a:gd name="connsiteX0" fmla="*/ 0 w 271639"/>
              <a:gd name="connsiteY0" fmla="*/ 253129 h 253128"/>
              <a:gd name="connsiteX1" fmla="*/ 160559 w 271639"/>
              <a:gd name="connsiteY1" fmla="*/ 240810 h 253128"/>
              <a:gd name="connsiteX2" fmla="*/ 271639 w 271639"/>
              <a:gd name="connsiteY2" fmla="*/ 0 h 253128"/>
              <a:gd name="connsiteX3" fmla="*/ 0 w 271639"/>
              <a:gd name="connsiteY3" fmla="*/ 253129 h 253128"/>
            </a:gdLst>
            <a:ahLst/>
            <a:cxnLst>
              <a:cxn ang="0">
                <a:pos x="connsiteX0" y="connsiteY0"/>
              </a:cxn>
              <a:cxn ang="0">
                <a:pos x="connsiteX1" y="connsiteY1"/>
              </a:cxn>
              <a:cxn ang="0">
                <a:pos x="connsiteX2" y="connsiteY2"/>
              </a:cxn>
              <a:cxn ang="0">
                <a:pos x="connsiteX3" y="connsiteY3"/>
              </a:cxn>
            </a:cxnLst>
            <a:rect l="l" t="t" r="r" b="b"/>
            <a:pathLst>
              <a:path w="271639" h="253128">
                <a:moveTo>
                  <a:pt x="0" y="253129"/>
                </a:moveTo>
                <a:lnTo>
                  <a:pt x="160559" y="240810"/>
                </a:lnTo>
                <a:lnTo>
                  <a:pt x="271639" y="0"/>
                </a:lnTo>
                <a:lnTo>
                  <a:pt x="0" y="253129"/>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4" name="Freeform: Shape 103">
            <a:extLst>
              <a:ext uri="{FF2B5EF4-FFF2-40B4-BE49-F238E27FC236}">
                <a16:creationId xmlns:a16="http://schemas.microsoft.com/office/drawing/2014/main" id="{BE8519D8-E76C-4F3F-9E98-A4153230CD98}"/>
              </a:ext>
            </a:extLst>
          </xdr:cNvPr>
          <xdr:cNvSpPr/>
        </xdr:nvSpPr>
        <xdr:spPr>
          <a:xfrm>
            <a:off x="3436019" y="5761551"/>
            <a:ext cx="100349" cy="278560"/>
          </a:xfrm>
          <a:custGeom>
            <a:avLst/>
            <a:gdLst>
              <a:gd name="connsiteX0" fmla="*/ 0 w 100349"/>
              <a:gd name="connsiteY0" fmla="*/ 278561 h 278560"/>
              <a:gd name="connsiteX1" fmla="*/ 63190 w 100349"/>
              <a:gd name="connsiteY1" fmla="*/ 0 h 278560"/>
              <a:gd name="connsiteX2" fmla="*/ 100349 w 100349"/>
              <a:gd name="connsiteY2" fmla="*/ 191337 h 278560"/>
              <a:gd name="connsiteX3" fmla="*/ 0 w 100349"/>
              <a:gd name="connsiteY3" fmla="*/ 278561 h 278560"/>
            </a:gdLst>
            <a:ahLst/>
            <a:cxnLst>
              <a:cxn ang="0">
                <a:pos x="connsiteX0" y="connsiteY0"/>
              </a:cxn>
              <a:cxn ang="0">
                <a:pos x="connsiteX1" y="connsiteY1"/>
              </a:cxn>
              <a:cxn ang="0">
                <a:pos x="connsiteX2" y="connsiteY2"/>
              </a:cxn>
              <a:cxn ang="0">
                <a:pos x="connsiteX3" y="connsiteY3"/>
              </a:cxn>
            </a:cxnLst>
            <a:rect l="l" t="t" r="r" b="b"/>
            <a:pathLst>
              <a:path w="100349" h="278560">
                <a:moveTo>
                  <a:pt x="0" y="278561"/>
                </a:moveTo>
                <a:lnTo>
                  <a:pt x="63190" y="0"/>
                </a:lnTo>
                <a:lnTo>
                  <a:pt x="100349" y="191337"/>
                </a:lnTo>
                <a:lnTo>
                  <a:pt x="0" y="278561"/>
                </a:lnTo>
                <a:close/>
              </a:path>
            </a:pathLst>
          </a:custGeom>
          <a:solidFill>
            <a:srgbClr val="33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5" name="Freeform: Shape 104">
            <a:extLst>
              <a:ext uri="{FF2B5EF4-FFF2-40B4-BE49-F238E27FC236}">
                <a16:creationId xmlns:a16="http://schemas.microsoft.com/office/drawing/2014/main" id="{62C46127-2337-4733-9EB5-D1C32F9D14F6}"/>
              </a:ext>
            </a:extLst>
          </xdr:cNvPr>
          <xdr:cNvSpPr/>
        </xdr:nvSpPr>
        <xdr:spPr>
          <a:xfrm>
            <a:off x="3403231" y="5925469"/>
            <a:ext cx="46697" cy="114643"/>
          </a:xfrm>
          <a:custGeom>
            <a:avLst/>
            <a:gdLst>
              <a:gd name="connsiteX0" fmla="*/ 32788 w 46697"/>
              <a:gd name="connsiteY0" fmla="*/ 114643 h 114643"/>
              <a:gd name="connsiteX1" fmla="*/ 0 w 46697"/>
              <a:gd name="connsiteY1" fmla="*/ 0 h 114643"/>
              <a:gd name="connsiteX2" fmla="*/ 46697 w 46697"/>
              <a:gd name="connsiteY2" fmla="*/ 53646 h 114643"/>
              <a:gd name="connsiteX3" fmla="*/ 32788 w 46697"/>
              <a:gd name="connsiteY3" fmla="*/ 114643 h 114643"/>
            </a:gdLst>
            <a:ahLst/>
            <a:cxnLst>
              <a:cxn ang="0">
                <a:pos x="connsiteX0" y="connsiteY0"/>
              </a:cxn>
              <a:cxn ang="0">
                <a:pos x="connsiteX1" y="connsiteY1"/>
              </a:cxn>
              <a:cxn ang="0">
                <a:pos x="connsiteX2" y="connsiteY2"/>
              </a:cxn>
              <a:cxn ang="0">
                <a:pos x="connsiteX3" y="connsiteY3"/>
              </a:cxn>
            </a:cxnLst>
            <a:rect l="l" t="t" r="r" b="b"/>
            <a:pathLst>
              <a:path w="46697" h="114643">
                <a:moveTo>
                  <a:pt x="32788" y="114643"/>
                </a:moveTo>
                <a:lnTo>
                  <a:pt x="0" y="0"/>
                </a:lnTo>
                <a:lnTo>
                  <a:pt x="46697" y="53646"/>
                </a:lnTo>
                <a:lnTo>
                  <a:pt x="32788" y="114643"/>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6" name="Freeform: Shape 105">
            <a:extLst>
              <a:ext uri="{FF2B5EF4-FFF2-40B4-BE49-F238E27FC236}">
                <a16:creationId xmlns:a16="http://schemas.microsoft.com/office/drawing/2014/main" id="{B0DB5E9B-174A-41D1-9DEF-2A1D27B748FE}"/>
              </a:ext>
            </a:extLst>
          </xdr:cNvPr>
          <xdr:cNvSpPr/>
        </xdr:nvSpPr>
        <xdr:spPr>
          <a:xfrm>
            <a:off x="3403231" y="5761551"/>
            <a:ext cx="95977" cy="217563"/>
          </a:xfrm>
          <a:custGeom>
            <a:avLst/>
            <a:gdLst>
              <a:gd name="connsiteX0" fmla="*/ 46697 w 95977"/>
              <a:gd name="connsiteY0" fmla="*/ 217564 h 217563"/>
              <a:gd name="connsiteX1" fmla="*/ 0 w 95977"/>
              <a:gd name="connsiteY1" fmla="*/ 163918 h 217563"/>
              <a:gd name="connsiteX2" fmla="*/ 95978 w 95977"/>
              <a:gd name="connsiteY2" fmla="*/ 0 h 217563"/>
              <a:gd name="connsiteX3" fmla="*/ 46697 w 95977"/>
              <a:gd name="connsiteY3" fmla="*/ 217564 h 217563"/>
            </a:gdLst>
            <a:ahLst/>
            <a:cxnLst>
              <a:cxn ang="0">
                <a:pos x="connsiteX0" y="connsiteY0"/>
              </a:cxn>
              <a:cxn ang="0">
                <a:pos x="connsiteX1" y="connsiteY1"/>
              </a:cxn>
              <a:cxn ang="0">
                <a:pos x="connsiteX2" y="connsiteY2"/>
              </a:cxn>
              <a:cxn ang="0">
                <a:pos x="connsiteX3" y="connsiteY3"/>
              </a:cxn>
            </a:cxnLst>
            <a:rect l="l" t="t" r="r" b="b"/>
            <a:pathLst>
              <a:path w="95977" h="217563">
                <a:moveTo>
                  <a:pt x="46697" y="217564"/>
                </a:moveTo>
                <a:lnTo>
                  <a:pt x="0" y="163918"/>
                </a:lnTo>
                <a:lnTo>
                  <a:pt x="95978" y="0"/>
                </a:lnTo>
                <a:lnTo>
                  <a:pt x="46697" y="217564"/>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Freeform: Shape 106">
            <a:extLst>
              <a:ext uri="{FF2B5EF4-FFF2-40B4-BE49-F238E27FC236}">
                <a16:creationId xmlns:a16="http://schemas.microsoft.com/office/drawing/2014/main" id="{6401A69F-C770-4F58-85AE-FD732CAF4F6A}"/>
              </a:ext>
            </a:extLst>
          </xdr:cNvPr>
          <xdr:cNvSpPr/>
        </xdr:nvSpPr>
        <xdr:spPr>
          <a:xfrm>
            <a:off x="3510734" y="7668163"/>
            <a:ext cx="173078" cy="581361"/>
          </a:xfrm>
          <a:custGeom>
            <a:avLst/>
            <a:gdLst>
              <a:gd name="connsiteX0" fmla="*/ 0 w 173078"/>
              <a:gd name="connsiteY0" fmla="*/ 279952 h 581361"/>
              <a:gd name="connsiteX1" fmla="*/ 109888 w 173078"/>
              <a:gd name="connsiteY1" fmla="*/ 581362 h 581361"/>
              <a:gd name="connsiteX2" fmla="*/ 173078 w 173078"/>
              <a:gd name="connsiteY2" fmla="*/ 0 h 581361"/>
              <a:gd name="connsiteX3" fmla="*/ 0 w 173078"/>
              <a:gd name="connsiteY3" fmla="*/ 279952 h 581361"/>
            </a:gdLst>
            <a:ahLst/>
            <a:cxnLst>
              <a:cxn ang="0">
                <a:pos x="connsiteX0" y="connsiteY0"/>
              </a:cxn>
              <a:cxn ang="0">
                <a:pos x="connsiteX1" y="connsiteY1"/>
              </a:cxn>
              <a:cxn ang="0">
                <a:pos x="connsiteX2" y="connsiteY2"/>
              </a:cxn>
              <a:cxn ang="0">
                <a:pos x="connsiteX3" y="connsiteY3"/>
              </a:cxn>
            </a:cxnLst>
            <a:rect l="l" t="t" r="r" b="b"/>
            <a:pathLst>
              <a:path w="173078" h="581361">
                <a:moveTo>
                  <a:pt x="0" y="279952"/>
                </a:moveTo>
                <a:lnTo>
                  <a:pt x="109888" y="581362"/>
                </a:lnTo>
                <a:lnTo>
                  <a:pt x="173078" y="0"/>
                </a:lnTo>
                <a:lnTo>
                  <a:pt x="0" y="279952"/>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8" name="Freeform: Shape 107">
            <a:extLst>
              <a:ext uri="{FF2B5EF4-FFF2-40B4-BE49-F238E27FC236}">
                <a16:creationId xmlns:a16="http://schemas.microsoft.com/office/drawing/2014/main" id="{FF5309DF-3EB5-4C82-80AC-63471E077BB5}"/>
              </a:ext>
            </a:extLst>
          </xdr:cNvPr>
          <xdr:cNvSpPr/>
        </xdr:nvSpPr>
        <xdr:spPr>
          <a:xfrm>
            <a:off x="4079051" y="7667765"/>
            <a:ext cx="173276" cy="581560"/>
          </a:xfrm>
          <a:custGeom>
            <a:avLst/>
            <a:gdLst>
              <a:gd name="connsiteX0" fmla="*/ 173277 w 173276"/>
              <a:gd name="connsiteY0" fmla="*/ 279952 h 581560"/>
              <a:gd name="connsiteX1" fmla="*/ 63191 w 173276"/>
              <a:gd name="connsiteY1" fmla="*/ 581560 h 581560"/>
              <a:gd name="connsiteX2" fmla="*/ 0 w 173276"/>
              <a:gd name="connsiteY2" fmla="*/ 0 h 581560"/>
              <a:gd name="connsiteX3" fmla="*/ 173277 w 173276"/>
              <a:gd name="connsiteY3" fmla="*/ 279952 h 581560"/>
            </a:gdLst>
            <a:ahLst/>
            <a:cxnLst>
              <a:cxn ang="0">
                <a:pos x="connsiteX0" y="connsiteY0"/>
              </a:cxn>
              <a:cxn ang="0">
                <a:pos x="connsiteX1" y="connsiteY1"/>
              </a:cxn>
              <a:cxn ang="0">
                <a:pos x="connsiteX2" y="connsiteY2"/>
              </a:cxn>
              <a:cxn ang="0">
                <a:pos x="connsiteX3" y="connsiteY3"/>
              </a:cxn>
            </a:cxnLst>
            <a:rect l="l" t="t" r="r" b="b"/>
            <a:pathLst>
              <a:path w="173276" h="581560">
                <a:moveTo>
                  <a:pt x="173277" y="279952"/>
                </a:moveTo>
                <a:lnTo>
                  <a:pt x="63191" y="581560"/>
                </a:lnTo>
                <a:lnTo>
                  <a:pt x="0" y="0"/>
                </a:lnTo>
                <a:lnTo>
                  <a:pt x="173277" y="279952"/>
                </a:lnTo>
                <a:close/>
              </a:path>
            </a:pathLst>
          </a:custGeom>
          <a:solidFill>
            <a:srgbClr val="33CC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9" name="Freeform: Shape 108">
            <a:extLst>
              <a:ext uri="{FF2B5EF4-FFF2-40B4-BE49-F238E27FC236}">
                <a16:creationId xmlns:a16="http://schemas.microsoft.com/office/drawing/2014/main" id="{248F40F1-BB90-4C5D-8800-372EBC10529B}"/>
              </a:ext>
            </a:extLst>
          </xdr:cNvPr>
          <xdr:cNvSpPr/>
        </xdr:nvSpPr>
        <xdr:spPr>
          <a:xfrm>
            <a:off x="3642282" y="5969776"/>
            <a:ext cx="283959" cy="403933"/>
          </a:xfrm>
          <a:custGeom>
            <a:avLst/>
            <a:gdLst>
              <a:gd name="connsiteX0" fmla="*/ 155194 w 283959"/>
              <a:gd name="connsiteY0" fmla="*/ 0 h 403933"/>
              <a:gd name="connsiteX1" fmla="*/ 283959 w 283959"/>
              <a:gd name="connsiteY1" fmla="*/ 38546 h 403933"/>
              <a:gd name="connsiteX2" fmla="*/ 0 w 283959"/>
              <a:gd name="connsiteY2" fmla="*/ 403933 h 403933"/>
              <a:gd name="connsiteX3" fmla="*/ 155194 w 283959"/>
              <a:gd name="connsiteY3" fmla="*/ 0 h 403933"/>
            </a:gdLst>
            <a:ahLst/>
            <a:cxnLst>
              <a:cxn ang="0">
                <a:pos x="connsiteX0" y="connsiteY0"/>
              </a:cxn>
              <a:cxn ang="0">
                <a:pos x="connsiteX1" y="connsiteY1"/>
              </a:cxn>
              <a:cxn ang="0">
                <a:pos x="connsiteX2" y="connsiteY2"/>
              </a:cxn>
              <a:cxn ang="0">
                <a:pos x="connsiteX3" y="connsiteY3"/>
              </a:cxn>
            </a:cxnLst>
            <a:rect l="l" t="t" r="r" b="b"/>
            <a:pathLst>
              <a:path w="283959" h="403933">
                <a:moveTo>
                  <a:pt x="155194" y="0"/>
                </a:moveTo>
                <a:lnTo>
                  <a:pt x="283959" y="38546"/>
                </a:lnTo>
                <a:lnTo>
                  <a:pt x="0" y="403933"/>
                </a:lnTo>
                <a:lnTo>
                  <a:pt x="155194"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0" name="Freeform: Shape 109">
            <a:extLst>
              <a:ext uri="{FF2B5EF4-FFF2-40B4-BE49-F238E27FC236}">
                <a16:creationId xmlns:a16="http://schemas.microsoft.com/office/drawing/2014/main" id="{20447AF4-048A-434F-B5C7-C6B30120A6C6}"/>
              </a:ext>
            </a:extLst>
          </xdr:cNvPr>
          <xdr:cNvSpPr/>
        </xdr:nvSpPr>
        <xdr:spPr>
          <a:xfrm>
            <a:off x="4134889" y="6497095"/>
            <a:ext cx="387885" cy="382276"/>
          </a:xfrm>
          <a:custGeom>
            <a:avLst/>
            <a:gdLst>
              <a:gd name="connsiteX0" fmla="*/ 345362 w 387885"/>
              <a:gd name="connsiteY0" fmla="*/ 382276 h 382276"/>
              <a:gd name="connsiteX1" fmla="*/ 387886 w 387885"/>
              <a:gd name="connsiteY1" fmla="*/ 215179 h 382276"/>
              <a:gd name="connsiteX2" fmla="*/ 0 w 387885"/>
              <a:gd name="connsiteY2" fmla="*/ 0 h 382276"/>
              <a:gd name="connsiteX3" fmla="*/ 345362 w 387885"/>
              <a:gd name="connsiteY3" fmla="*/ 382276 h 382276"/>
            </a:gdLst>
            <a:ahLst/>
            <a:cxnLst>
              <a:cxn ang="0">
                <a:pos x="connsiteX0" y="connsiteY0"/>
              </a:cxn>
              <a:cxn ang="0">
                <a:pos x="connsiteX1" y="connsiteY1"/>
              </a:cxn>
              <a:cxn ang="0">
                <a:pos x="connsiteX2" y="connsiteY2"/>
              </a:cxn>
              <a:cxn ang="0">
                <a:pos x="connsiteX3" y="connsiteY3"/>
              </a:cxn>
            </a:cxnLst>
            <a:rect l="l" t="t" r="r" b="b"/>
            <a:pathLst>
              <a:path w="387885" h="382276">
                <a:moveTo>
                  <a:pt x="345362" y="382276"/>
                </a:moveTo>
                <a:lnTo>
                  <a:pt x="387886" y="215179"/>
                </a:lnTo>
                <a:lnTo>
                  <a:pt x="0" y="0"/>
                </a:lnTo>
                <a:lnTo>
                  <a:pt x="345362" y="382276"/>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1" name="Freeform: Shape 110">
            <a:extLst>
              <a:ext uri="{FF2B5EF4-FFF2-40B4-BE49-F238E27FC236}">
                <a16:creationId xmlns:a16="http://schemas.microsoft.com/office/drawing/2014/main" id="{0AFBFC80-D683-46A5-9777-CFA4617C0E7A}"/>
              </a:ext>
            </a:extLst>
          </xdr:cNvPr>
          <xdr:cNvSpPr/>
        </xdr:nvSpPr>
        <xdr:spPr>
          <a:xfrm>
            <a:off x="3554451" y="6292645"/>
            <a:ext cx="327079" cy="528510"/>
          </a:xfrm>
          <a:custGeom>
            <a:avLst/>
            <a:gdLst>
              <a:gd name="connsiteX0" fmla="*/ 327080 w 327079"/>
              <a:gd name="connsiteY0" fmla="*/ 0 h 528510"/>
              <a:gd name="connsiteX1" fmla="*/ 327080 w 327079"/>
              <a:gd name="connsiteY1" fmla="*/ 382077 h 528510"/>
              <a:gd name="connsiteX2" fmla="*/ 0 w 327079"/>
              <a:gd name="connsiteY2" fmla="*/ 528511 h 528510"/>
              <a:gd name="connsiteX3" fmla="*/ 327080 w 327079"/>
              <a:gd name="connsiteY3" fmla="*/ 0 h 528510"/>
            </a:gdLst>
            <a:ahLst/>
            <a:cxnLst>
              <a:cxn ang="0">
                <a:pos x="connsiteX0" y="connsiteY0"/>
              </a:cxn>
              <a:cxn ang="0">
                <a:pos x="connsiteX1" y="connsiteY1"/>
              </a:cxn>
              <a:cxn ang="0">
                <a:pos x="connsiteX2" y="connsiteY2"/>
              </a:cxn>
              <a:cxn ang="0">
                <a:pos x="connsiteX3" y="connsiteY3"/>
              </a:cxn>
            </a:cxnLst>
            <a:rect l="l" t="t" r="r" b="b"/>
            <a:pathLst>
              <a:path w="327079" h="528510">
                <a:moveTo>
                  <a:pt x="327080" y="0"/>
                </a:moveTo>
                <a:lnTo>
                  <a:pt x="327080" y="382077"/>
                </a:lnTo>
                <a:lnTo>
                  <a:pt x="0" y="528511"/>
                </a:lnTo>
                <a:lnTo>
                  <a:pt x="327080" y="0"/>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2" name="Freeform: Shape 111">
            <a:extLst>
              <a:ext uri="{FF2B5EF4-FFF2-40B4-BE49-F238E27FC236}">
                <a16:creationId xmlns:a16="http://schemas.microsoft.com/office/drawing/2014/main" id="{3BA516D5-80C0-4834-8702-649030626375}"/>
              </a:ext>
            </a:extLst>
          </xdr:cNvPr>
          <xdr:cNvSpPr/>
        </xdr:nvSpPr>
        <xdr:spPr>
          <a:xfrm>
            <a:off x="3881531" y="6292645"/>
            <a:ext cx="327278" cy="528510"/>
          </a:xfrm>
          <a:custGeom>
            <a:avLst/>
            <a:gdLst>
              <a:gd name="connsiteX0" fmla="*/ 0 w 327278"/>
              <a:gd name="connsiteY0" fmla="*/ 0 h 528510"/>
              <a:gd name="connsiteX1" fmla="*/ 0 w 327278"/>
              <a:gd name="connsiteY1" fmla="*/ 382077 h 528510"/>
              <a:gd name="connsiteX2" fmla="*/ 327279 w 327278"/>
              <a:gd name="connsiteY2" fmla="*/ 528511 h 528510"/>
              <a:gd name="connsiteX3" fmla="*/ 0 w 327278"/>
              <a:gd name="connsiteY3" fmla="*/ 0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0"/>
                </a:moveTo>
                <a:lnTo>
                  <a:pt x="0" y="382077"/>
                </a:lnTo>
                <a:lnTo>
                  <a:pt x="327279" y="528511"/>
                </a:lnTo>
                <a:lnTo>
                  <a:pt x="0" y="0"/>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3" name="Freeform: Shape 112">
            <a:extLst>
              <a:ext uri="{FF2B5EF4-FFF2-40B4-BE49-F238E27FC236}">
                <a16:creationId xmlns:a16="http://schemas.microsoft.com/office/drawing/2014/main" id="{C2704B7D-3088-4E04-ABB6-072824D4BB26}"/>
              </a:ext>
            </a:extLst>
          </xdr:cNvPr>
          <xdr:cNvSpPr/>
        </xdr:nvSpPr>
        <xdr:spPr>
          <a:xfrm>
            <a:off x="3554451" y="6820162"/>
            <a:ext cx="327079" cy="528510"/>
          </a:xfrm>
          <a:custGeom>
            <a:avLst/>
            <a:gdLst>
              <a:gd name="connsiteX0" fmla="*/ 327080 w 327079"/>
              <a:gd name="connsiteY0" fmla="*/ 528511 h 528510"/>
              <a:gd name="connsiteX1" fmla="*/ 327080 w 327079"/>
              <a:gd name="connsiteY1" fmla="*/ 146433 h 528510"/>
              <a:gd name="connsiteX2" fmla="*/ 0 w 327079"/>
              <a:gd name="connsiteY2" fmla="*/ 0 h 528510"/>
              <a:gd name="connsiteX3" fmla="*/ 327080 w 327079"/>
              <a:gd name="connsiteY3" fmla="*/ 528511 h 528510"/>
            </a:gdLst>
            <a:ahLst/>
            <a:cxnLst>
              <a:cxn ang="0">
                <a:pos x="connsiteX0" y="connsiteY0"/>
              </a:cxn>
              <a:cxn ang="0">
                <a:pos x="connsiteX1" y="connsiteY1"/>
              </a:cxn>
              <a:cxn ang="0">
                <a:pos x="connsiteX2" y="connsiteY2"/>
              </a:cxn>
              <a:cxn ang="0">
                <a:pos x="connsiteX3" y="connsiteY3"/>
              </a:cxn>
            </a:cxnLst>
            <a:rect l="l" t="t" r="r" b="b"/>
            <a:pathLst>
              <a:path w="327079" h="528510">
                <a:moveTo>
                  <a:pt x="327080" y="528511"/>
                </a:moveTo>
                <a:lnTo>
                  <a:pt x="327080" y="146433"/>
                </a:lnTo>
                <a:lnTo>
                  <a:pt x="0" y="0"/>
                </a:lnTo>
                <a:lnTo>
                  <a:pt x="327080" y="528511"/>
                </a:lnTo>
                <a:close/>
              </a:path>
            </a:pathLst>
          </a:custGeom>
          <a:solidFill>
            <a:srgbClr val="33FF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4" name="Freeform: Shape 113">
            <a:extLst>
              <a:ext uri="{FF2B5EF4-FFF2-40B4-BE49-F238E27FC236}">
                <a16:creationId xmlns:a16="http://schemas.microsoft.com/office/drawing/2014/main" id="{01498587-31BF-4781-99AA-D07B1C478BA3}"/>
              </a:ext>
            </a:extLst>
          </xdr:cNvPr>
          <xdr:cNvSpPr/>
        </xdr:nvSpPr>
        <xdr:spPr>
          <a:xfrm>
            <a:off x="3881531" y="6820162"/>
            <a:ext cx="327278" cy="528510"/>
          </a:xfrm>
          <a:custGeom>
            <a:avLst/>
            <a:gdLst>
              <a:gd name="connsiteX0" fmla="*/ 0 w 327278"/>
              <a:gd name="connsiteY0" fmla="*/ 528511 h 528510"/>
              <a:gd name="connsiteX1" fmla="*/ 0 w 327278"/>
              <a:gd name="connsiteY1" fmla="*/ 146433 h 528510"/>
              <a:gd name="connsiteX2" fmla="*/ 327279 w 327278"/>
              <a:gd name="connsiteY2" fmla="*/ 0 h 528510"/>
              <a:gd name="connsiteX3" fmla="*/ 0 w 327278"/>
              <a:gd name="connsiteY3" fmla="*/ 528511 h 528510"/>
            </a:gdLst>
            <a:ahLst/>
            <a:cxnLst>
              <a:cxn ang="0">
                <a:pos x="connsiteX0" y="connsiteY0"/>
              </a:cxn>
              <a:cxn ang="0">
                <a:pos x="connsiteX1" y="connsiteY1"/>
              </a:cxn>
              <a:cxn ang="0">
                <a:pos x="connsiteX2" y="connsiteY2"/>
              </a:cxn>
              <a:cxn ang="0">
                <a:pos x="connsiteX3" y="connsiteY3"/>
              </a:cxn>
            </a:cxnLst>
            <a:rect l="l" t="t" r="r" b="b"/>
            <a:pathLst>
              <a:path w="327278" h="528510">
                <a:moveTo>
                  <a:pt x="0" y="528511"/>
                </a:moveTo>
                <a:lnTo>
                  <a:pt x="0" y="146433"/>
                </a:lnTo>
                <a:lnTo>
                  <a:pt x="327279" y="0"/>
                </a:lnTo>
                <a:lnTo>
                  <a:pt x="0" y="528511"/>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Freeform: Shape 114">
            <a:extLst>
              <a:ext uri="{FF2B5EF4-FFF2-40B4-BE49-F238E27FC236}">
                <a16:creationId xmlns:a16="http://schemas.microsoft.com/office/drawing/2014/main" id="{5DB94AB0-0572-4350-93B8-0AD0C2B52C86}"/>
              </a:ext>
            </a:extLst>
          </xdr:cNvPr>
          <xdr:cNvSpPr/>
        </xdr:nvSpPr>
        <xdr:spPr>
          <a:xfrm>
            <a:off x="3881531" y="6820559"/>
            <a:ext cx="327278" cy="146035"/>
          </a:xfrm>
          <a:custGeom>
            <a:avLst/>
            <a:gdLst>
              <a:gd name="connsiteX0" fmla="*/ 0 w 327278"/>
              <a:gd name="connsiteY0" fmla="*/ 146036 h 146035"/>
              <a:gd name="connsiteX1" fmla="*/ 0 w 327278"/>
              <a:gd name="connsiteY1" fmla="*/ 0 h 146035"/>
              <a:gd name="connsiteX2" fmla="*/ 327279 w 327278"/>
              <a:gd name="connsiteY2" fmla="*/ 0 h 146035"/>
              <a:gd name="connsiteX3" fmla="*/ 0 w 327278"/>
              <a:gd name="connsiteY3" fmla="*/ 146036 h 146035"/>
            </a:gdLst>
            <a:ahLst/>
            <a:cxnLst>
              <a:cxn ang="0">
                <a:pos x="connsiteX0" y="connsiteY0"/>
              </a:cxn>
              <a:cxn ang="0">
                <a:pos x="connsiteX1" y="connsiteY1"/>
              </a:cxn>
              <a:cxn ang="0">
                <a:pos x="connsiteX2" y="connsiteY2"/>
              </a:cxn>
              <a:cxn ang="0">
                <a:pos x="connsiteX3" y="connsiteY3"/>
              </a:cxn>
            </a:cxnLst>
            <a:rect l="l" t="t" r="r" b="b"/>
            <a:pathLst>
              <a:path w="327278" h="146035">
                <a:moveTo>
                  <a:pt x="0" y="146036"/>
                </a:moveTo>
                <a:lnTo>
                  <a:pt x="0" y="0"/>
                </a:lnTo>
                <a:lnTo>
                  <a:pt x="327279" y="0"/>
                </a:lnTo>
                <a:lnTo>
                  <a:pt x="0" y="146036"/>
                </a:lnTo>
                <a:close/>
              </a:path>
            </a:pathLst>
          </a:custGeom>
          <a:solidFill>
            <a:srgbClr val="0066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6" name="Freeform: Shape 115">
            <a:extLst>
              <a:ext uri="{FF2B5EF4-FFF2-40B4-BE49-F238E27FC236}">
                <a16:creationId xmlns:a16="http://schemas.microsoft.com/office/drawing/2014/main" id="{C8F058E2-3073-41D1-9617-D0A96066ED17}"/>
              </a:ext>
            </a:extLst>
          </xdr:cNvPr>
          <xdr:cNvSpPr/>
        </xdr:nvSpPr>
        <xdr:spPr>
          <a:xfrm>
            <a:off x="3554650" y="6820559"/>
            <a:ext cx="327278" cy="146035"/>
          </a:xfrm>
          <a:custGeom>
            <a:avLst/>
            <a:gdLst>
              <a:gd name="connsiteX0" fmla="*/ 327279 w 327278"/>
              <a:gd name="connsiteY0" fmla="*/ 146036 h 146035"/>
              <a:gd name="connsiteX1" fmla="*/ 327279 w 327278"/>
              <a:gd name="connsiteY1" fmla="*/ 0 h 146035"/>
              <a:gd name="connsiteX2" fmla="*/ 0 w 327278"/>
              <a:gd name="connsiteY2" fmla="*/ 0 h 146035"/>
              <a:gd name="connsiteX3" fmla="*/ 327279 w 327278"/>
              <a:gd name="connsiteY3" fmla="*/ 146036 h 146035"/>
            </a:gdLst>
            <a:ahLst/>
            <a:cxnLst>
              <a:cxn ang="0">
                <a:pos x="connsiteX0" y="connsiteY0"/>
              </a:cxn>
              <a:cxn ang="0">
                <a:pos x="connsiteX1" y="connsiteY1"/>
              </a:cxn>
              <a:cxn ang="0">
                <a:pos x="connsiteX2" y="connsiteY2"/>
              </a:cxn>
              <a:cxn ang="0">
                <a:pos x="connsiteX3" y="connsiteY3"/>
              </a:cxn>
            </a:cxnLst>
            <a:rect l="l" t="t" r="r" b="b"/>
            <a:pathLst>
              <a:path w="327278" h="146035">
                <a:moveTo>
                  <a:pt x="327279" y="146036"/>
                </a:moveTo>
                <a:lnTo>
                  <a:pt x="327279" y="0"/>
                </a:lnTo>
                <a:lnTo>
                  <a:pt x="0" y="0"/>
                </a:lnTo>
                <a:lnTo>
                  <a:pt x="327279" y="146036"/>
                </a:lnTo>
                <a:close/>
              </a:path>
            </a:pathLst>
          </a:custGeom>
          <a:solidFill>
            <a:srgbClr val="009933"/>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Freeform: Shape 116">
            <a:extLst>
              <a:ext uri="{FF2B5EF4-FFF2-40B4-BE49-F238E27FC236}">
                <a16:creationId xmlns:a16="http://schemas.microsoft.com/office/drawing/2014/main" id="{677329ED-8BAB-485A-8E3C-B32CC03ABC8C}"/>
              </a:ext>
            </a:extLst>
          </xdr:cNvPr>
          <xdr:cNvSpPr/>
        </xdr:nvSpPr>
        <xdr:spPr>
          <a:xfrm>
            <a:off x="3881531" y="6674126"/>
            <a:ext cx="327278" cy="146035"/>
          </a:xfrm>
          <a:custGeom>
            <a:avLst/>
            <a:gdLst>
              <a:gd name="connsiteX0" fmla="*/ 0 w 327278"/>
              <a:gd name="connsiteY0" fmla="*/ 0 h 146035"/>
              <a:gd name="connsiteX1" fmla="*/ 0 w 327278"/>
              <a:gd name="connsiteY1" fmla="*/ 146036 h 146035"/>
              <a:gd name="connsiteX2" fmla="*/ 327279 w 327278"/>
              <a:gd name="connsiteY2" fmla="*/ 146036 h 146035"/>
              <a:gd name="connsiteX3" fmla="*/ 0 w 327278"/>
              <a:gd name="connsiteY3" fmla="*/ 0 h 146035"/>
            </a:gdLst>
            <a:ahLst/>
            <a:cxnLst>
              <a:cxn ang="0">
                <a:pos x="connsiteX0" y="connsiteY0"/>
              </a:cxn>
              <a:cxn ang="0">
                <a:pos x="connsiteX1" y="connsiteY1"/>
              </a:cxn>
              <a:cxn ang="0">
                <a:pos x="connsiteX2" y="connsiteY2"/>
              </a:cxn>
              <a:cxn ang="0">
                <a:pos x="connsiteX3" y="connsiteY3"/>
              </a:cxn>
            </a:cxnLst>
            <a:rect l="l" t="t" r="r" b="b"/>
            <a:pathLst>
              <a:path w="327278" h="146035">
                <a:moveTo>
                  <a:pt x="0" y="0"/>
                </a:moveTo>
                <a:lnTo>
                  <a:pt x="0" y="146036"/>
                </a:lnTo>
                <a:lnTo>
                  <a:pt x="327279" y="146036"/>
                </a:lnTo>
                <a:lnTo>
                  <a:pt x="0" y="0"/>
                </a:lnTo>
                <a:close/>
              </a:path>
            </a:pathLst>
          </a:custGeom>
          <a:solidFill>
            <a:srgbClr val="33CC66"/>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8" name="Freeform: Shape 117">
            <a:extLst>
              <a:ext uri="{FF2B5EF4-FFF2-40B4-BE49-F238E27FC236}">
                <a16:creationId xmlns:a16="http://schemas.microsoft.com/office/drawing/2014/main" id="{191C2481-F8C0-4CF4-9DF3-FE2F92939596}"/>
              </a:ext>
            </a:extLst>
          </xdr:cNvPr>
          <xdr:cNvSpPr/>
        </xdr:nvSpPr>
        <xdr:spPr>
          <a:xfrm>
            <a:off x="3554650" y="6674126"/>
            <a:ext cx="327278" cy="146035"/>
          </a:xfrm>
          <a:custGeom>
            <a:avLst/>
            <a:gdLst>
              <a:gd name="connsiteX0" fmla="*/ 327279 w 327278"/>
              <a:gd name="connsiteY0" fmla="*/ 0 h 146035"/>
              <a:gd name="connsiteX1" fmla="*/ 327279 w 327278"/>
              <a:gd name="connsiteY1" fmla="*/ 146036 h 146035"/>
              <a:gd name="connsiteX2" fmla="*/ 0 w 327278"/>
              <a:gd name="connsiteY2" fmla="*/ 146036 h 146035"/>
              <a:gd name="connsiteX3" fmla="*/ 327279 w 327278"/>
              <a:gd name="connsiteY3" fmla="*/ 0 h 146035"/>
            </a:gdLst>
            <a:ahLst/>
            <a:cxnLst>
              <a:cxn ang="0">
                <a:pos x="connsiteX0" y="connsiteY0"/>
              </a:cxn>
              <a:cxn ang="0">
                <a:pos x="connsiteX1" y="connsiteY1"/>
              </a:cxn>
              <a:cxn ang="0">
                <a:pos x="connsiteX2" y="connsiteY2"/>
              </a:cxn>
              <a:cxn ang="0">
                <a:pos x="connsiteX3" y="connsiteY3"/>
              </a:cxn>
            </a:cxnLst>
            <a:rect l="l" t="t" r="r" b="b"/>
            <a:pathLst>
              <a:path w="327278" h="146035">
                <a:moveTo>
                  <a:pt x="327279" y="0"/>
                </a:moveTo>
                <a:lnTo>
                  <a:pt x="327279" y="146036"/>
                </a:lnTo>
                <a:lnTo>
                  <a:pt x="0" y="146036"/>
                </a:lnTo>
                <a:lnTo>
                  <a:pt x="327279" y="0"/>
                </a:lnTo>
                <a:close/>
              </a:path>
            </a:pathLst>
          </a:custGeom>
          <a:solidFill>
            <a:srgbClr val="66FF99"/>
          </a:solidFill>
          <a:ln w="19874"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xdr:from>
      <xdr:col>2</xdr:col>
      <xdr:colOff>523875</xdr:colOff>
      <xdr:row>4</xdr:row>
      <xdr:rowOff>180975</xdr:rowOff>
    </xdr:from>
    <xdr:to>
      <xdr:col>3</xdr:col>
      <xdr:colOff>663575</xdr:colOff>
      <xdr:row>6</xdr:row>
      <xdr:rowOff>156845</xdr:rowOff>
    </xdr:to>
    <xdr:grpSp>
      <xdr:nvGrpSpPr>
        <xdr:cNvPr id="119" name="Group 118">
          <a:extLst>
            <a:ext uri="{FF2B5EF4-FFF2-40B4-BE49-F238E27FC236}">
              <a16:creationId xmlns:a16="http://schemas.microsoft.com/office/drawing/2014/main" id="{0F75756D-D73F-4061-99B8-ABF042A57A57}"/>
            </a:ext>
          </a:extLst>
        </xdr:cNvPr>
        <xdr:cNvGrpSpPr/>
      </xdr:nvGrpSpPr>
      <xdr:grpSpPr>
        <a:xfrm>
          <a:off x="2028825" y="1019175"/>
          <a:ext cx="892175" cy="1014095"/>
          <a:chOff x="0" y="0"/>
          <a:chExt cx="2174081" cy="2444924"/>
        </a:xfrm>
      </xdr:grpSpPr>
      <xdr:sp macro="" textlink="">
        <xdr:nvSpPr>
          <xdr:cNvPr id="120" name="Freeform: Shape 119">
            <a:extLst>
              <a:ext uri="{FF2B5EF4-FFF2-40B4-BE49-F238E27FC236}">
                <a16:creationId xmlns:a16="http://schemas.microsoft.com/office/drawing/2014/main" id="{DEBA91EB-1B8E-4F25-BA54-F55111B51396}"/>
              </a:ext>
            </a:extLst>
          </xdr:cNvPr>
          <xdr:cNvSpPr/>
        </xdr:nvSpPr>
        <xdr:spPr>
          <a:xfrm>
            <a:off x="190691" y="0"/>
            <a:ext cx="1780179" cy="896769"/>
          </a:xfrm>
          <a:custGeom>
            <a:avLst/>
            <a:gdLst>
              <a:gd name="connsiteX0" fmla="*/ 0 w 1780179"/>
              <a:gd name="connsiteY0" fmla="*/ 448385 h 896769"/>
              <a:gd name="connsiteX1" fmla="*/ 856326 w 1780179"/>
              <a:gd name="connsiteY1" fmla="*/ 0 h 896769"/>
              <a:gd name="connsiteX2" fmla="*/ 1780179 w 1780179"/>
              <a:gd name="connsiteY2" fmla="*/ 448385 h 896769"/>
              <a:gd name="connsiteX3" fmla="*/ 890116 w 1780179"/>
              <a:gd name="connsiteY3" fmla="*/ 896769 h 896769"/>
            </a:gdLst>
            <a:ahLst/>
            <a:cxnLst>
              <a:cxn ang="0">
                <a:pos x="connsiteX0" y="connsiteY0"/>
              </a:cxn>
              <a:cxn ang="0">
                <a:pos x="connsiteX1" y="connsiteY1"/>
              </a:cxn>
              <a:cxn ang="0">
                <a:pos x="connsiteX2" y="connsiteY2"/>
              </a:cxn>
              <a:cxn ang="0">
                <a:pos x="connsiteX3" y="connsiteY3"/>
              </a:cxn>
            </a:cxnLst>
            <a:rect l="l" t="t" r="r" b="b"/>
            <a:pathLst>
              <a:path w="1780179" h="896769">
                <a:moveTo>
                  <a:pt x="0" y="448385"/>
                </a:moveTo>
                <a:lnTo>
                  <a:pt x="856326" y="0"/>
                </a:lnTo>
                <a:lnTo>
                  <a:pt x="1780179" y="448385"/>
                </a:lnTo>
                <a:lnTo>
                  <a:pt x="890116" y="896769"/>
                </a:lnTo>
                <a:close/>
              </a:path>
            </a:pathLst>
          </a:custGeom>
          <a:solidFill>
            <a:srgbClr val="00F77C"/>
          </a:solidFill>
          <a:ln w="5239" cap="flat">
            <a:noFill/>
            <a:prstDash val="solid"/>
            <a:miter/>
          </a:ln>
        </xdr:spPr>
        <xdr:txBody>
          <a:bodyPr wrap="square" rtlCol="0" anchor="ctr"/>
          <a:lstStyle/>
          <a:p>
            <a:endParaRPr lang="en-US"/>
          </a:p>
        </xdr:txBody>
      </xdr:sp>
      <xdr:grpSp>
        <xdr:nvGrpSpPr>
          <xdr:cNvPr id="121" name="Graphic 2">
            <a:extLst>
              <a:ext uri="{FF2B5EF4-FFF2-40B4-BE49-F238E27FC236}">
                <a16:creationId xmlns:a16="http://schemas.microsoft.com/office/drawing/2014/main" id="{5A92B69B-C305-4999-8E47-97BF0B07DC43}"/>
              </a:ext>
            </a:extLst>
          </xdr:cNvPr>
          <xdr:cNvGrpSpPr/>
        </xdr:nvGrpSpPr>
        <xdr:grpSpPr>
          <a:xfrm>
            <a:off x="0" y="391334"/>
            <a:ext cx="2174081" cy="2053590"/>
            <a:chOff x="0" y="391334"/>
            <a:chExt cx="2174081" cy="2053590"/>
          </a:xfrm>
          <a:solidFill>
            <a:srgbClr val="00D068"/>
          </a:solidFill>
        </xdr:grpSpPr>
        <xdr:pic>
          <xdr:nvPicPr>
            <xdr:cNvPr id="123" name="Picture 122">
              <a:extLst>
                <a:ext uri="{FF2B5EF4-FFF2-40B4-BE49-F238E27FC236}">
                  <a16:creationId xmlns:a16="http://schemas.microsoft.com/office/drawing/2014/main" id="{4334F008-6C74-4E56-9D3C-8DB8BE36B5EA}"/>
                </a:ext>
              </a:extLst>
            </xdr:cNvPr>
            <xdr:cNvPicPr>
              <a:picLocks noChangeAspect="1"/>
            </xdr:cNvPicPr>
          </xdr:nvPicPr>
          <xdr:blipFill>
            <a:blip xmlns:r="http://schemas.openxmlformats.org/officeDocument/2006/relationships" r:embed="rId3"/>
            <a:stretch>
              <a:fillRect/>
            </a:stretch>
          </xdr:blipFill>
          <xdr:spPr>
            <a:xfrm>
              <a:off x="0" y="391334"/>
              <a:ext cx="2174081" cy="2053590"/>
            </a:xfrm>
            <a:custGeom>
              <a:avLst/>
              <a:gdLst>
                <a:gd name="connsiteX0" fmla="*/ 0 w 2174081"/>
                <a:gd name="connsiteY0" fmla="*/ 0 h 2053590"/>
                <a:gd name="connsiteX1" fmla="*/ 2174081 w 2174081"/>
                <a:gd name="connsiteY1" fmla="*/ 0 h 2053590"/>
                <a:gd name="connsiteX2" fmla="*/ 2174081 w 2174081"/>
                <a:gd name="connsiteY2" fmla="*/ 2053590 h 2053590"/>
                <a:gd name="connsiteX3" fmla="*/ 0 w 2174081"/>
                <a:gd name="connsiteY3" fmla="*/ 2053590 h 2053590"/>
              </a:gdLst>
              <a:ahLst/>
              <a:cxnLst>
                <a:cxn ang="0">
                  <a:pos x="connsiteX0" y="connsiteY0"/>
                </a:cxn>
                <a:cxn ang="0">
                  <a:pos x="connsiteX1" y="connsiteY1"/>
                </a:cxn>
                <a:cxn ang="0">
                  <a:pos x="connsiteX2" y="connsiteY2"/>
                </a:cxn>
                <a:cxn ang="0">
                  <a:pos x="connsiteX3" y="connsiteY3"/>
                </a:cxn>
              </a:cxnLst>
              <a:rect l="l" t="t" r="r" b="b"/>
              <a:pathLst>
                <a:path w="2174081" h="2053590">
                  <a:moveTo>
                    <a:pt x="0" y="0"/>
                  </a:moveTo>
                  <a:lnTo>
                    <a:pt x="2174081" y="0"/>
                  </a:lnTo>
                  <a:lnTo>
                    <a:pt x="2174081" y="2053590"/>
                  </a:lnTo>
                  <a:lnTo>
                    <a:pt x="0" y="2053590"/>
                  </a:lnTo>
                  <a:close/>
                </a:path>
              </a:pathLst>
            </a:custGeom>
          </xdr:spPr>
        </xdr:pic>
        <xdr:sp macro="" textlink="">
          <xdr:nvSpPr>
            <xdr:cNvPr id="124" name="Freeform: Shape 123">
              <a:extLst>
                <a:ext uri="{FF2B5EF4-FFF2-40B4-BE49-F238E27FC236}">
                  <a16:creationId xmlns:a16="http://schemas.microsoft.com/office/drawing/2014/main" id="{C3657195-F646-4EAB-831C-6E72202A8366}"/>
                </a:ext>
              </a:extLst>
            </xdr:cNvPr>
            <xdr:cNvSpPr/>
          </xdr:nvSpPr>
          <xdr:spPr>
            <a:xfrm>
              <a:off x="76381" y="448384"/>
              <a:ext cx="2008798" cy="1890193"/>
            </a:xfrm>
            <a:custGeom>
              <a:avLst/>
              <a:gdLst>
                <a:gd name="connsiteX0" fmla="*/ 0 w 2008798"/>
                <a:gd name="connsiteY0" fmla="*/ 0 h 1890193"/>
                <a:gd name="connsiteX1" fmla="*/ 0 w 2008798"/>
                <a:gd name="connsiteY1" fmla="*/ 1291142 h 1890193"/>
                <a:gd name="connsiteX2" fmla="*/ 1004425 w 2008798"/>
                <a:gd name="connsiteY2" fmla="*/ 1890193 h 1890193"/>
                <a:gd name="connsiteX3" fmla="*/ 2008799 w 2008798"/>
                <a:gd name="connsiteY3" fmla="*/ 1291142 h 1890193"/>
                <a:gd name="connsiteX4" fmla="*/ 2008799 w 2008798"/>
                <a:gd name="connsiteY4" fmla="*/ 0 h 1890193"/>
                <a:gd name="connsiteX5" fmla="*/ 1004425 w 2008798"/>
                <a:gd name="connsiteY5" fmla="*/ 506011 h 18901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008798" h="1890193">
                  <a:moveTo>
                    <a:pt x="0" y="0"/>
                  </a:moveTo>
                  <a:lnTo>
                    <a:pt x="0" y="1291142"/>
                  </a:lnTo>
                  <a:lnTo>
                    <a:pt x="1004425" y="1890193"/>
                  </a:lnTo>
                  <a:lnTo>
                    <a:pt x="2008799" y="1291142"/>
                  </a:lnTo>
                  <a:lnTo>
                    <a:pt x="2008799" y="0"/>
                  </a:lnTo>
                  <a:lnTo>
                    <a:pt x="1004425" y="506011"/>
                  </a:lnTo>
                  <a:close/>
                </a:path>
              </a:pathLst>
            </a:custGeom>
            <a:solidFill>
              <a:srgbClr val="00D068"/>
            </a:solidFill>
            <a:ln w="5239" cap="flat">
              <a:noFill/>
              <a:prstDash val="solid"/>
              <a:miter/>
            </a:ln>
          </xdr:spPr>
          <xdr:txBody>
            <a:bodyPr wrap="square" rtlCol="0" anchor="ctr"/>
            <a:lstStyle/>
            <a:p>
              <a:endParaRPr lang="en-US"/>
            </a:p>
          </xdr:txBody>
        </xdr:sp>
      </xdr:grpSp>
      <xdr:sp macro="" textlink="">
        <xdr:nvSpPr>
          <xdr:cNvPr id="122" name="Freeform: Shape 121">
            <a:extLst>
              <a:ext uri="{FF2B5EF4-FFF2-40B4-BE49-F238E27FC236}">
                <a16:creationId xmlns:a16="http://schemas.microsoft.com/office/drawing/2014/main" id="{749720A3-EF1C-4217-911C-390DE540B3F1}"/>
              </a:ext>
            </a:extLst>
          </xdr:cNvPr>
          <xdr:cNvSpPr/>
        </xdr:nvSpPr>
        <xdr:spPr>
          <a:xfrm>
            <a:off x="76381" y="448384"/>
            <a:ext cx="1004425" cy="1890193"/>
          </a:xfrm>
          <a:custGeom>
            <a:avLst/>
            <a:gdLst>
              <a:gd name="connsiteX0" fmla="*/ 1004425 w 1004425"/>
              <a:gd name="connsiteY0" fmla="*/ 1890193 h 1890193"/>
              <a:gd name="connsiteX1" fmla="*/ 1004425 w 1004425"/>
              <a:gd name="connsiteY1" fmla="*/ 506011 h 1890193"/>
              <a:gd name="connsiteX2" fmla="*/ 0 w 1004425"/>
              <a:gd name="connsiteY2" fmla="*/ 0 h 1890193"/>
              <a:gd name="connsiteX3" fmla="*/ 0 w 1004425"/>
              <a:gd name="connsiteY3" fmla="*/ 1291142 h 1890193"/>
            </a:gdLst>
            <a:ahLst/>
            <a:cxnLst>
              <a:cxn ang="0">
                <a:pos x="connsiteX0" y="connsiteY0"/>
              </a:cxn>
              <a:cxn ang="0">
                <a:pos x="connsiteX1" y="connsiteY1"/>
              </a:cxn>
              <a:cxn ang="0">
                <a:pos x="connsiteX2" y="connsiteY2"/>
              </a:cxn>
              <a:cxn ang="0">
                <a:pos x="connsiteX3" y="connsiteY3"/>
              </a:cxn>
            </a:cxnLst>
            <a:rect l="l" t="t" r="r" b="b"/>
            <a:pathLst>
              <a:path w="1004425" h="1890193">
                <a:moveTo>
                  <a:pt x="1004425" y="1890193"/>
                </a:moveTo>
                <a:lnTo>
                  <a:pt x="1004425" y="506011"/>
                </a:lnTo>
                <a:lnTo>
                  <a:pt x="0" y="0"/>
                </a:lnTo>
                <a:lnTo>
                  <a:pt x="0" y="1291142"/>
                </a:lnTo>
                <a:close/>
              </a:path>
            </a:pathLst>
          </a:custGeom>
          <a:solidFill>
            <a:srgbClr val="00A954"/>
          </a:solidFill>
          <a:ln w="5239" cap="flat">
            <a:noFill/>
            <a:prstDash val="solid"/>
            <a:miter/>
          </a:ln>
        </xdr:spPr>
        <xdr:txBody>
          <a:bodyPr wrap="square"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0</xdr:row>
      <xdr:rowOff>85726</xdr:rowOff>
    </xdr:from>
    <xdr:to>
      <xdr:col>6</xdr:col>
      <xdr:colOff>1828800</xdr:colOff>
      <xdr:row>5</xdr:row>
      <xdr:rowOff>113706</xdr:rowOff>
    </xdr:to>
    <xdr:pic>
      <xdr:nvPicPr>
        <xdr:cNvPr id="3" name="Graphic 2">
          <a:extLst>
            <a:ext uri="{FF2B5EF4-FFF2-40B4-BE49-F238E27FC236}">
              <a16:creationId xmlns:a16="http://schemas.microsoft.com/office/drawing/2014/main" id="{253DA046-4117-4597-B6E8-7B21DC87B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24475" y="85726"/>
          <a:ext cx="1743075" cy="980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167472</xdr:colOff>
      <xdr:row>0</xdr:row>
      <xdr:rowOff>52335</xdr:rowOff>
    </xdr:from>
    <xdr:to>
      <xdr:col>5</xdr:col>
      <xdr:colOff>1413049</xdr:colOff>
      <xdr:row>10</xdr:row>
      <xdr:rowOff>10467</xdr:rowOff>
    </xdr:to>
    <xdr:pic>
      <xdr:nvPicPr>
        <xdr:cNvPr id="3" name="Picture 2">
          <a:extLst>
            <a:ext uri="{FF2B5EF4-FFF2-40B4-BE49-F238E27FC236}">
              <a16:creationId xmlns:a16="http://schemas.microsoft.com/office/drawing/2014/main" id="{CED8DEAD-3530-4EA3-9856-DD65559AF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472" y="52335"/>
          <a:ext cx="1245577" cy="12455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0</xdr:row>
      <xdr:rowOff>85726</xdr:rowOff>
    </xdr:from>
    <xdr:to>
      <xdr:col>6</xdr:col>
      <xdr:colOff>1828800</xdr:colOff>
      <xdr:row>5</xdr:row>
      <xdr:rowOff>113706</xdr:rowOff>
    </xdr:to>
    <xdr:pic>
      <xdr:nvPicPr>
        <xdr:cNvPr id="2" name="Graphic 1">
          <a:extLst>
            <a:ext uri="{FF2B5EF4-FFF2-40B4-BE49-F238E27FC236}">
              <a16:creationId xmlns:a16="http://schemas.microsoft.com/office/drawing/2014/main" id="{350F2913-C6D0-4C8E-A113-8C758721A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5825" y="85726"/>
          <a:ext cx="1743075" cy="980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Crisis%20Care%20Network%20Exhibits%20v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ProxyProposal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Jackpotjoy%20Link%20Building%20Project%20Plan%202011-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johnson/Desktop/Capcoal/Cap%20OC%20Weekly%20Review%20File%20RF%20Updated%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Accounting%20and%20Reports/Monthend/2015/09%20September/Monthend/KSA%20Reporting/2015%20Budget%20Model-%20Sept%20v4-Revised%20Budget%20v53-cle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Monthly%20planning%20and%20campaign%20management%20budget%20-%20April%20-%20March%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Documents%20and%20Settings/michaelm.LONDON/Local%20Settings/Temporary%20Internet%20Files/Content.Outlook/AEVYCW7A/Bingo%20Q2fc%20080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ocmotive\Analysis\Models\FF.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ASHBOARD\NBC%20PR%20Dashboard%20V6%207Ju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obsummerwill/Library/Containers/com.microsoft.Excel/Data/Documents/C:/Users/aliso/ETC%20Cooperative%20Dropbox/ETC%20Cooperative/Business/Financial/Forecast/2019%20Forecast%20as%20at%20March%2031,%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nput Sheet"/>
    </sheetNames>
    <sheetDataSet>
      <sheetData sheetId="0" refreshError="1"/>
    </sheetDataSet>
  </externalBook>
</externalLink>
</file>

<file path=xl/theme/theme1.xml><?xml version="1.0" encoding="utf-8"?>
<a:theme xmlns:a="http://schemas.openxmlformats.org/drawingml/2006/main" name="Office Theme">
  <a:themeElements>
    <a:clrScheme name="Ethereum Classic">
      <a:dk1>
        <a:sysClr val="windowText" lastClr="000000"/>
      </a:dk1>
      <a:lt1>
        <a:sysClr val="window" lastClr="FFFFFF"/>
      </a:lt1>
      <a:dk2>
        <a:srgbClr val="44546A"/>
      </a:dk2>
      <a:lt2>
        <a:srgbClr val="E7E6E6"/>
      </a:lt2>
      <a:accent1>
        <a:srgbClr val="33FF99"/>
      </a:accent1>
      <a:accent2>
        <a:srgbClr val="131313"/>
      </a:accent2>
      <a:accent3>
        <a:srgbClr val="121820"/>
      </a:accent3>
      <a:accent4>
        <a:srgbClr val="FFED00"/>
      </a:accent4>
      <a:accent5>
        <a:srgbClr val="34FFF4"/>
      </a:accent5>
      <a:accent6>
        <a:srgbClr val="FD025D"/>
      </a:accent6>
      <a:hlink>
        <a:srgbClr val="0563C1"/>
      </a:hlink>
      <a:folHlink>
        <a:srgbClr val="954F72"/>
      </a:folHlink>
    </a:clrScheme>
    <a:fontScheme name="ETC open sans">
      <a:majorFont>
        <a:latin typeface="Merriweather 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D9B6-FCAB-4A8F-BB56-5DF042EBD890}">
  <dimension ref="C4:P6"/>
  <sheetViews>
    <sheetView topLeftCell="B7" workbookViewId="0">
      <selection activeCell="Q23" sqref="Q23"/>
    </sheetView>
  </sheetViews>
  <sheetFormatPr defaultColWidth="8.77734375" defaultRowHeight="16.5" x14ac:dyDescent="0.3"/>
  <cols>
    <col min="1" max="11" width="8.77734375" style="1"/>
    <col min="12" max="12" width="8.77734375" style="1" customWidth="1"/>
    <col min="13" max="16384" width="8.77734375" style="1"/>
  </cols>
  <sheetData>
    <row r="4" spans="3:16" x14ac:dyDescent="0.3">
      <c r="C4" s="63"/>
    </row>
    <row r="5" spans="3:16" ht="51.75" x14ac:dyDescent="0.9">
      <c r="K5" s="2"/>
      <c r="L5" s="2"/>
      <c r="M5" s="2"/>
      <c r="N5" s="2"/>
      <c r="O5" s="3"/>
    </row>
    <row r="6" spans="3:16" ht="30" x14ac:dyDescent="0.55000000000000004">
      <c r="K6" s="2"/>
      <c r="L6" s="2"/>
      <c r="M6" s="2"/>
      <c r="N6" s="2"/>
      <c r="O6" s="2"/>
      <c r="P6"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3AB9-5C89-454D-ABE5-3C131D8CC193}">
  <dimension ref="A1:Y361"/>
  <sheetViews>
    <sheetView showGridLines="0" tabSelected="1" topLeftCell="G31" workbookViewId="0">
      <selection activeCell="N48" sqref="N48:T48"/>
    </sheetView>
  </sheetViews>
  <sheetFormatPr defaultColWidth="8.77734375" defaultRowHeight="15" x14ac:dyDescent="0.3"/>
  <cols>
    <col min="1" max="1" width="14.44140625" style="23" hidden="1" customWidth="1"/>
    <col min="2" max="2" width="10.44140625" style="23" hidden="1" customWidth="1"/>
    <col min="3" max="5" width="0" style="23" hidden="1" customWidth="1"/>
    <col min="6" max="6" width="9.33203125" style="23" customWidth="1"/>
    <col min="7" max="7" width="53.109375" style="23" customWidth="1"/>
    <col min="8" max="8" width="8.77734375" style="23"/>
    <col min="9" max="20" width="11.77734375" style="23" customWidth="1"/>
    <col min="21" max="21" width="12.77734375" style="23" customWidth="1"/>
    <col min="22" max="16384" width="8.77734375" style="23"/>
  </cols>
  <sheetData>
    <row r="1" spans="1:21" x14ac:dyDescent="0.3">
      <c r="G1" s="241" t="s">
        <v>620</v>
      </c>
    </row>
    <row r="3" spans="1:21" x14ac:dyDescent="0.3">
      <c r="G3" s="145"/>
      <c r="H3" s="145"/>
      <c r="I3" s="247"/>
      <c r="J3" s="145"/>
      <c r="K3" s="145"/>
      <c r="L3" s="145"/>
      <c r="M3" s="145"/>
      <c r="N3" s="145"/>
      <c r="O3" s="145"/>
      <c r="P3" s="145"/>
      <c r="Q3" s="145"/>
      <c r="R3" s="145"/>
      <c r="S3" s="145"/>
      <c r="T3" s="145"/>
      <c r="U3" s="145"/>
    </row>
    <row r="5" spans="1:21" x14ac:dyDescent="0.3">
      <c r="G5" s="23" t="s">
        <v>591</v>
      </c>
    </row>
    <row r="6" spans="1:21" x14ac:dyDescent="0.3">
      <c r="E6" s="240"/>
      <c r="I6" s="243" t="s">
        <v>195</v>
      </c>
      <c r="J6" s="243" t="s">
        <v>196</v>
      </c>
      <c r="K6" s="243" t="s">
        <v>32</v>
      </c>
      <c r="L6" s="243" t="s">
        <v>33</v>
      </c>
      <c r="M6" s="243" t="s">
        <v>7</v>
      </c>
      <c r="N6" s="243" t="s">
        <v>34</v>
      </c>
      <c r="O6" s="243" t="s">
        <v>9</v>
      </c>
      <c r="P6" s="243" t="s">
        <v>35</v>
      </c>
      <c r="Q6" s="243" t="s">
        <v>197</v>
      </c>
      <c r="R6" s="243" t="s">
        <v>198</v>
      </c>
      <c r="S6" s="243" t="s">
        <v>199</v>
      </c>
      <c r="T6" s="243" t="s">
        <v>200</v>
      </c>
    </row>
    <row r="7" spans="1:21" s="143" customFormat="1" x14ac:dyDescent="0.3">
      <c r="A7" s="129" t="s">
        <v>442</v>
      </c>
      <c r="B7" s="129" t="s">
        <v>443</v>
      </c>
      <c r="C7" s="129"/>
      <c r="D7" s="129"/>
      <c r="E7" s="129"/>
      <c r="G7" s="139" t="s">
        <v>50</v>
      </c>
      <c r="H7" s="140"/>
      <c r="I7" s="244">
        <v>44562</v>
      </c>
      <c r="J7" s="244">
        <v>44593</v>
      </c>
      <c r="K7" s="244">
        <v>44621</v>
      </c>
      <c r="L7" s="244">
        <v>44652</v>
      </c>
      <c r="M7" s="244">
        <v>44682</v>
      </c>
      <c r="N7" s="244">
        <v>44713</v>
      </c>
      <c r="O7" s="244">
        <v>44743</v>
      </c>
      <c r="P7" s="244">
        <v>44774</v>
      </c>
      <c r="Q7" s="244">
        <v>44805</v>
      </c>
      <c r="R7" s="244">
        <v>44835</v>
      </c>
      <c r="S7" s="244">
        <v>44866</v>
      </c>
      <c r="T7" s="244">
        <v>44896</v>
      </c>
      <c r="U7" s="144" t="s">
        <v>1</v>
      </c>
    </row>
    <row r="8" spans="1:21" s="122" customFormat="1" x14ac:dyDescent="0.3">
      <c r="G8" s="123"/>
      <c r="H8" s="124"/>
      <c r="I8" s="125"/>
      <c r="J8" s="125"/>
      <c r="K8" s="125"/>
      <c r="L8" s="125"/>
      <c r="M8" s="125"/>
      <c r="N8" s="125"/>
      <c r="O8" s="125"/>
      <c r="P8" s="125"/>
      <c r="Q8" s="125"/>
      <c r="R8" s="125"/>
      <c r="S8" s="125"/>
      <c r="T8" s="125"/>
      <c r="U8" s="132"/>
    </row>
    <row r="9" spans="1:21" s="122" customFormat="1" x14ac:dyDescent="0.3">
      <c r="G9" s="26" t="s">
        <v>114</v>
      </c>
      <c r="H9" s="124"/>
      <c r="I9" s="28"/>
      <c r="J9" s="28"/>
      <c r="K9" s="28"/>
      <c r="L9" s="28"/>
      <c r="M9" s="28"/>
      <c r="N9" s="28"/>
      <c r="O9" s="28"/>
      <c r="P9" s="28"/>
      <c r="Q9" s="28"/>
      <c r="R9" s="28"/>
      <c r="S9" s="28"/>
      <c r="T9" s="28"/>
      <c r="U9" s="132"/>
    </row>
    <row r="10" spans="1:21" s="126" customFormat="1" ht="16.5" x14ac:dyDescent="0.3">
      <c r="A10" s="126">
        <v>9</v>
      </c>
      <c r="B10" s="199" t="s">
        <v>216</v>
      </c>
      <c r="C10" s="126" t="str">
        <f>CONCATENATE(B10,A10)</f>
        <v>009</v>
      </c>
      <c r="D10" s="126" t="s">
        <v>88</v>
      </c>
      <c r="E10" t="s">
        <v>391</v>
      </c>
      <c r="G10" s="133" t="s">
        <v>101</v>
      </c>
      <c r="H10" s="127"/>
      <c r="I10" s="242">
        <v>302395.40999999997</v>
      </c>
      <c r="J10" s="242">
        <v>276090</v>
      </c>
      <c r="K10" s="242">
        <v>300000</v>
      </c>
      <c r="L10" s="242">
        <v>300000</v>
      </c>
      <c r="M10" s="242"/>
      <c r="N10" s="242"/>
      <c r="O10" s="242"/>
      <c r="P10" s="242"/>
      <c r="Q10" s="242"/>
      <c r="R10" s="242"/>
      <c r="S10" s="242"/>
      <c r="T10" s="242"/>
      <c r="U10" s="235">
        <f>SUM(I10:T10)</f>
        <v>1178485.4099999999</v>
      </c>
    </row>
    <row r="11" spans="1:21" s="126" customFormat="1" ht="16.5" x14ac:dyDescent="0.3">
      <c r="A11" s="126">
        <v>9</v>
      </c>
      <c r="B11" s="199" t="s">
        <v>216</v>
      </c>
      <c r="C11" s="126" t="str">
        <f t="shared" ref="C11:C62" si="0">CONCATENATE(B11,A11)</f>
        <v>009</v>
      </c>
      <c r="D11" s="126" t="s">
        <v>88</v>
      </c>
      <c r="E11" t="s">
        <v>395</v>
      </c>
      <c r="G11" s="133" t="s">
        <v>53</v>
      </c>
      <c r="H11" s="127"/>
      <c r="I11" s="28"/>
      <c r="J11" s="28"/>
      <c r="K11" s="28"/>
      <c r="L11" s="28"/>
      <c r="M11" s="28"/>
      <c r="N11" s="28"/>
      <c r="O11" s="28"/>
      <c r="P11" s="28"/>
      <c r="Q11" s="28"/>
      <c r="R11" s="28"/>
      <c r="S11" s="28"/>
      <c r="T11" s="28"/>
      <c r="U11" s="235">
        <f t="shared" ref="U11:U14" si="1">SUM(I11:T11)</f>
        <v>0</v>
      </c>
    </row>
    <row r="12" spans="1:21" s="126" customFormat="1" ht="16.5" x14ac:dyDescent="0.3">
      <c r="A12" s="126">
        <v>9</v>
      </c>
      <c r="B12" s="199" t="s">
        <v>216</v>
      </c>
      <c r="C12" s="126" t="str">
        <f t="shared" si="0"/>
        <v>009</v>
      </c>
      <c r="D12" s="126" t="s">
        <v>88</v>
      </c>
      <c r="E12" t="s">
        <v>393</v>
      </c>
      <c r="G12" s="133" t="s">
        <v>115</v>
      </c>
      <c r="H12" s="127"/>
      <c r="I12" s="28"/>
      <c r="J12" s="28"/>
      <c r="K12" s="28"/>
      <c r="L12" s="28"/>
      <c r="M12" s="28"/>
      <c r="N12" s="28"/>
      <c r="O12" s="28"/>
      <c r="P12" s="28"/>
      <c r="Q12" s="28"/>
      <c r="R12" s="28"/>
      <c r="S12" s="28"/>
      <c r="T12" s="28"/>
      <c r="U12" s="235">
        <f t="shared" si="1"/>
        <v>0</v>
      </c>
    </row>
    <row r="13" spans="1:21" s="129" customFormat="1" ht="16.5" x14ac:dyDescent="0.3">
      <c r="A13" s="126">
        <v>9</v>
      </c>
      <c r="B13" s="199" t="s">
        <v>216</v>
      </c>
      <c r="C13" s="126" t="str">
        <f t="shared" si="0"/>
        <v>009</v>
      </c>
      <c r="D13" s="126" t="s">
        <v>88</v>
      </c>
      <c r="E13" t="s">
        <v>397</v>
      </c>
      <c r="G13" s="133" t="s">
        <v>403</v>
      </c>
      <c r="H13" s="131"/>
      <c r="I13" s="28"/>
      <c r="J13" s="28"/>
      <c r="K13" s="28"/>
      <c r="L13" s="28"/>
      <c r="M13" s="28"/>
      <c r="N13" s="28"/>
      <c r="O13" s="28"/>
      <c r="P13" s="28"/>
      <c r="Q13" s="28"/>
      <c r="R13" s="28"/>
      <c r="S13" s="28"/>
      <c r="T13" s="28"/>
      <c r="U13" s="235">
        <f t="shared" si="1"/>
        <v>0</v>
      </c>
    </row>
    <row r="14" spans="1:21" s="129" customFormat="1" ht="16.5" x14ac:dyDescent="0.3">
      <c r="A14" s="126">
        <v>9</v>
      </c>
      <c r="B14" s="199" t="s">
        <v>216</v>
      </c>
      <c r="C14" s="126" t="str">
        <f t="shared" si="0"/>
        <v>009</v>
      </c>
      <c r="D14" s="126" t="s">
        <v>88</v>
      </c>
      <c r="E14" t="s">
        <v>401</v>
      </c>
      <c r="G14" s="133" t="s">
        <v>116</v>
      </c>
      <c r="H14" s="131"/>
      <c r="I14" s="131"/>
      <c r="J14" s="131"/>
      <c r="K14" s="131"/>
      <c r="L14" s="131"/>
      <c r="M14" s="131"/>
      <c r="N14" s="131"/>
      <c r="O14" s="131"/>
      <c r="P14" s="131"/>
      <c r="Q14" s="131"/>
      <c r="R14" s="131"/>
      <c r="S14" s="131"/>
      <c r="T14" s="131"/>
      <c r="U14" s="235">
        <f t="shared" si="1"/>
        <v>0</v>
      </c>
    </row>
    <row r="15" spans="1:21" s="129" customFormat="1" ht="15.75" thickBot="1" x14ac:dyDescent="0.35">
      <c r="A15" s="126"/>
      <c r="B15" s="126"/>
      <c r="C15" s="126" t="str">
        <f t="shared" si="0"/>
        <v/>
      </c>
      <c r="D15" s="126"/>
      <c r="E15" s="126"/>
      <c r="G15" s="134" t="s">
        <v>112</v>
      </c>
      <c r="H15" s="135"/>
      <c r="I15" s="136">
        <f>SUM(I10:I14)</f>
        <v>302395.40999999997</v>
      </c>
      <c r="J15" s="136">
        <f t="shared" ref="J15:T15" si="2">SUM(J10:J14)</f>
        <v>276090</v>
      </c>
      <c r="K15" s="136">
        <f t="shared" si="2"/>
        <v>300000</v>
      </c>
      <c r="L15" s="136">
        <f t="shared" si="2"/>
        <v>300000</v>
      </c>
      <c r="M15" s="136">
        <f t="shared" si="2"/>
        <v>0</v>
      </c>
      <c r="N15" s="136">
        <f t="shared" si="2"/>
        <v>0</v>
      </c>
      <c r="O15" s="136">
        <f t="shared" si="2"/>
        <v>0</v>
      </c>
      <c r="P15" s="136">
        <f t="shared" si="2"/>
        <v>0</v>
      </c>
      <c r="Q15" s="136">
        <f t="shared" si="2"/>
        <v>0</v>
      </c>
      <c r="R15" s="136">
        <f t="shared" si="2"/>
        <v>0</v>
      </c>
      <c r="S15" s="136">
        <f t="shared" si="2"/>
        <v>0</v>
      </c>
      <c r="T15" s="136">
        <f t="shared" si="2"/>
        <v>0</v>
      </c>
      <c r="U15" s="33">
        <f>SUM(U10:U14)</f>
        <v>1178485.4099999999</v>
      </c>
    </row>
    <row r="16" spans="1:21" s="129" customFormat="1" ht="15.75" thickTop="1" x14ac:dyDescent="0.3">
      <c r="A16" s="126"/>
      <c r="B16" s="126"/>
      <c r="C16" s="126" t="str">
        <f t="shared" si="0"/>
        <v/>
      </c>
      <c r="D16" s="126"/>
      <c r="E16" s="126"/>
      <c r="G16" s="130"/>
      <c r="H16" s="131"/>
      <c r="I16" s="131"/>
      <c r="J16" s="131"/>
      <c r="K16" s="131"/>
      <c r="L16" s="131"/>
      <c r="M16" s="131"/>
      <c r="N16" s="131"/>
      <c r="O16" s="131"/>
      <c r="P16" s="131"/>
      <c r="Q16" s="131"/>
      <c r="R16" s="131"/>
      <c r="S16" s="131"/>
      <c r="T16" s="131"/>
      <c r="U16" s="132"/>
    </row>
    <row r="17" spans="1:21" x14ac:dyDescent="0.3">
      <c r="A17" s="126"/>
      <c r="B17" s="126"/>
      <c r="C17" s="126" t="str">
        <f t="shared" si="0"/>
        <v/>
      </c>
      <c r="D17" s="126"/>
      <c r="E17" s="126"/>
      <c r="G17" s="26" t="s">
        <v>36</v>
      </c>
      <c r="H17" s="24"/>
      <c r="I17" s="24"/>
      <c r="J17" s="24"/>
      <c r="K17" s="24"/>
      <c r="L17" s="24"/>
      <c r="M17" s="24"/>
      <c r="N17" s="24"/>
      <c r="O17" s="24"/>
      <c r="P17" s="24"/>
      <c r="Q17" s="24"/>
      <c r="R17" s="24"/>
      <c r="S17" s="24"/>
      <c r="T17" s="24"/>
      <c r="U17" s="25"/>
    </row>
    <row r="18" spans="1:21" ht="16.5" x14ac:dyDescent="0.3">
      <c r="A18" s="126">
        <v>2</v>
      </c>
      <c r="B18" s="199" t="s">
        <v>212</v>
      </c>
      <c r="C18" s="126" t="str">
        <f t="shared" si="0"/>
        <v>012</v>
      </c>
      <c r="D18" s="126" t="s">
        <v>233</v>
      </c>
      <c r="E18" t="s">
        <v>279</v>
      </c>
      <c r="G18" s="27" t="s">
        <v>595</v>
      </c>
      <c r="H18" s="24"/>
      <c r="I18" s="28">
        <f>200000/12</f>
        <v>16666.666666666668</v>
      </c>
      <c r="J18" s="28">
        <f t="shared" ref="J18:T18" si="3">200000/12</f>
        <v>16666.666666666668</v>
      </c>
      <c r="K18" s="28">
        <f t="shared" si="3"/>
        <v>16666.666666666668</v>
      </c>
      <c r="L18" s="28">
        <f t="shared" si="3"/>
        <v>16666.666666666668</v>
      </c>
      <c r="M18" s="28">
        <f t="shared" si="3"/>
        <v>16666.666666666668</v>
      </c>
      <c r="N18" s="28">
        <f t="shared" si="3"/>
        <v>16666.666666666668</v>
      </c>
      <c r="O18" s="28">
        <f t="shared" si="3"/>
        <v>16666.666666666668</v>
      </c>
      <c r="P18" s="28">
        <f t="shared" si="3"/>
        <v>16666.666666666668</v>
      </c>
      <c r="Q18" s="28">
        <f t="shared" si="3"/>
        <v>16666.666666666668</v>
      </c>
      <c r="R18" s="28">
        <f t="shared" si="3"/>
        <v>16666.666666666668</v>
      </c>
      <c r="S18" s="28">
        <f t="shared" si="3"/>
        <v>16666.666666666668</v>
      </c>
      <c r="T18" s="28">
        <f t="shared" si="3"/>
        <v>16666.666666666668</v>
      </c>
      <c r="U18" s="29">
        <f>SUM(I18:T18)</f>
        <v>199999.99999999997</v>
      </c>
    </row>
    <row r="19" spans="1:21" ht="16.5" x14ac:dyDescent="0.3">
      <c r="A19" s="126">
        <v>2</v>
      </c>
      <c r="B19" s="199" t="s">
        <v>218</v>
      </c>
      <c r="C19" s="126" t="str">
        <f t="shared" si="0"/>
        <v>032</v>
      </c>
      <c r="D19" s="126" t="s">
        <v>233</v>
      </c>
      <c r="E19" t="s">
        <v>333</v>
      </c>
      <c r="G19" s="27" t="s">
        <v>616</v>
      </c>
      <c r="H19" s="24"/>
      <c r="I19" s="28">
        <v>15000</v>
      </c>
      <c r="J19" s="28">
        <v>15000</v>
      </c>
      <c r="K19" s="28">
        <v>15000</v>
      </c>
      <c r="L19" s="28">
        <v>15000</v>
      </c>
      <c r="M19" s="28">
        <v>15000</v>
      </c>
      <c r="N19" s="28">
        <v>15000</v>
      </c>
      <c r="O19" s="28">
        <v>15000</v>
      </c>
      <c r="P19" s="28">
        <v>15000</v>
      </c>
      <c r="Q19" s="28">
        <v>15000</v>
      </c>
      <c r="R19" s="28">
        <v>15000</v>
      </c>
      <c r="S19" s="28">
        <v>15000</v>
      </c>
      <c r="T19" s="28">
        <v>15000</v>
      </c>
      <c r="U19" s="29">
        <f>SUM(I19:T19)</f>
        <v>180000</v>
      </c>
    </row>
    <row r="20" spans="1:21" ht="16.5" x14ac:dyDescent="0.3">
      <c r="A20" s="126">
        <v>2</v>
      </c>
      <c r="B20" s="199" t="s">
        <v>222</v>
      </c>
      <c r="C20" s="126" t="str">
        <f t="shared" si="0"/>
        <v>072</v>
      </c>
      <c r="D20" s="126" t="s">
        <v>233</v>
      </c>
      <c r="E20" t="s">
        <v>365</v>
      </c>
      <c r="G20" s="27" t="s">
        <v>593</v>
      </c>
      <c r="H20" s="24"/>
      <c r="I20" s="28">
        <v>2000</v>
      </c>
      <c r="J20" s="28">
        <v>2000</v>
      </c>
      <c r="K20" s="28">
        <v>2000</v>
      </c>
      <c r="L20" s="28">
        <v>2000</v>
      </c>
      <c r="M20" s="28">
        <v>4000</v>
      </c>
      <c r="N20" s="28">
        <v>4000</v>
      </c>
      <c r="O20" s="28">
        <v>4000</v>
      </c>
      <c r="P20" s="28">
        <v>4000</v>
      </c>
      <c r="Q20" s="28">
        <v>5000</v>
      </c>
      <c r="R20" s="28">
        <v>5000</v>
      </c>
      <c r="S20" s="28">
        <v>5000</v>
      </c>
      <c r="T20" s="28">
        <v>5000</v>
      </c>
      <c r="U20" s="29">
        <f>SUM(I20:T20)</f>
        <v>44000</v>
      </c>
    </row>
    <row r="21" spans="1:21" ht="16.5" x14ac:dyDescent="0.3">
      <c r="A21" s="126">
        <v>2</v>
      </c>
      <c r="B21" s="199" t="s">
        <v>217</v>
      </c>
      <c r="C21" s="126" t="str">
        <f t="shared" si="0"/>
        <v>022</v>
      </c>
      <c r="D21" s="126"/>
      <c r="E21" t="s">
        <v>610</v>
      </c>
      <c r="G21" s="27" t="s">
        <v>594</v>
      </c>
      <c r="H21" s="24"/>
      <c r="I21" s="28">
        <f>50000/12</f>
        <v>4166.666666666667</v>
      </c>
      <c r="J21" s="28">
        <f t="shared" ref="J21" si="4">50000/12</f>
        <v>4166.666666666667</v>
      </c>
      <c r="K21" s="28"/>
      <c r="L21" s="28"/>
      <c r="M21" s="28">
        <v>8000</v>
      </c>
      <c r="N21" s="28">
        <v>8000</v>
      </c>
      <c r="O21" s="28">
        <v>8000</v>
      </c>
      <c r="P21" s="28">
        <v>8000</v>
      </c>
      <c r="Q21" s="28">
        <v>8000</v>
      </c>
      <c r="R21" s="28">
        <v>8000</v>
      </c>
      <c r="S21" s="28">
        <v>8000</v>
      </c>
      <c r="T21" s="28">
        <v>8000</v>
      </c>
      <c r="U21" s="29">
        <f t="shared" ref="U21:U24" si="5">SUM(I21:T21)</f>
        <v>72333.333333333343</v>
      </c>
    </row>
    <row r="22" spans="1:21" ht="16.5" x14ac:dyDescent="0.3">
      <c r="A22" s="126">
        <v>2</v>
      </c>
      <c r="B22" s="199" t="s">
        <v>218</v>
      </c>
      <c r="C22" s="126" t="str">
        <f t="shared" si="0"/>
        <v>032</v>
      </c>
      <c r="D22" s="126"/>
      <c r="E22" t="s">
        <v>333</v>
      </c>
      <c r="G22" s="27" t="s">
        <v>619</v>
      </c>
      <c r="H22" s="24"/>
      <c r="I22" s="28">
        <v>25000</v>
      </c>
      <c r="J22" s="28">
        <v>25000</v>
      </c>
      <c r="K22" s="28">
        <v>37500</v>
      </c>
      <c r="L22" s="28">
        <v>37500</v>
      </c>
      <c r="M22" s="28">
        <v>37500</v>
      </c>
      <c r="N22" s="28">
        <v>37500</v>
      </c>
      <c r="O22" s="28">
        <v>37500</v>
      </c>
      <c r="P22" s="28">
        <v>37500</v>
      </c>
      <c r="Q22" s="28">
        <v>37500</v>
      </c>
      <c r="R22" s="28">
        <v>37500</v>
      </c>
      <c r="S22" s="28">
        <v>37500</v>
      </c>
      <c r="T22" s="28">
        <v>37500</v>
      </c>
      <c r="U22" s="29">
        <f t="shared" si="5"/>
        <v>425000</v>
      </c>
    </row>
    <row r="23" spans="1:21" ht="16.5" x14ac:dyDescent="0.3">
      <c r="A23" s="126"/>
      <c r="B23" s="199"/>
      <c r="C23" s="126"/>
      <c r="D23" s="126"/>
      <c r="E23"/>
      <c r="G23" s="27" t="s">
        <v>629</v>
      </c>
      <c r="H23" s="24"/>
      <c r="I23" s="28"/>
      <c r="J23" s="28"/>
      <c r="K23" s="28"/>
      <c r="L23" s="28"/>
      <c r="M23" s="28">
        <v>10000</v>
      </c>
      <c r="N23" s="28">
        <v>10000</v>
      </c>
      <c r="O23" s="28">
        <v>10000</v>
      </c>
      <c r="P23" s="28">
        <v>10000</v>
      </c>
      <c r="Q23" s="28">
        <v>10000</v>
      </c>
      <c r="R23" s="28">
        <v>10000</v>
      </c>
      <c r="S23" s="28">
        <v>10000</v>
      </c>
      <c r="T23" s="28">
        <v>10000</v>
      </c>
      <c r="U23" s="29">
        <f t="shared" si="5"/>
        <v>80000</v>
      </c>
    </row>
    <row r="24" spans="1:21" ht="16.5" x14ac:dyDescent="0.3">
      <c r="A24" s="126"/>
      <c r="B24" s="199"/>
      <c r="C24" s="126"/>
      <c r="D24" s="126"/>
      <c r="E24"/>
      <c r="G24" s="27" t="s">
        <v>618</v>
      </c>
      <c r="H24" s="24"/>
      <c r="I24" s="28"/>
      <c r="J24" s="28"/>
      <c r="K24" s="28"/>
      <c r="L24" s="28"/>
      <c r="M24" s="28"/>
      <c r="N24" s="28"/>
      <c r="O24" s="28"/>
      <c r="P24" s="28"/>
      <c r="Q24" s="28"/>
      <c r="R24" s="28"/>
      <c r="S24" s="28"/>
      <c r="T24" s="28"/>
      <c r="U24" s="29">
        <f t="shared" si="5"/>
        <v>0</v>
      </c>
    </row>
    <row r="25" spans="1:21" x14ac:dyDescent="0.3">
      <c r="A25" s="126">
        <v>4</v>
      </c>
      <c r="B25" s="199" t="s">
        <v>212</v>
      </c>
      <c r="C25" s="126" t="str">
        <f t="shared" si="0"/>
        <v>014</v>
      </c>
      <c r="D25" s="126" t="s">
        <v>233</v>
      </c>
      <c r="E25" s="126" t="s">
        <v>609</v>
      </c>
      <c r="G25" s="27" t="s">
        <v>607</v>
      </c>
      <c r="H25" s="24"/>
      <c r="I25" s="28">
        <v>1000</v>
      </c>
      <c r="J25" s="28">
        <v>1000</v>
      </c>
      <c r="K25" s="28">
        <v>1000</v>
      </c>
      <c r="L25" s="28">
        <v>1000</v>
      </c>
      <c r="M25" s="28">
        <v>1000</v>
      </c>
      <c r="N25" s="28">
        <v>1000</v>
      </c>
      <c r="O25" s="28">
        <v>1000</v>
      </c>
      <c r="P25" s="28">
        <v>1000</v>
      </c>
      <c r="Q25" s="28">
        <v>1000</v>
      </c>
      <c r="R25" s="28">
        <v>1000</v>
      </c>
      <c r="S25" s="28">
        <v>1000</v>
      </c>
      <c r="T25" s="28">
        <v>1000</v>
      </c>
      <c r="U25" s="29">
        <f>SUM(I25:T25)</f>
        <v>12000</v>
      </c>
    </row>
    <row r="26" spans="1:21" ht="15.75" thickBot="1" x14ac:dyDescent="0.35">
      <c r="A26" s="126"/>
      <c r="B26" s="126"/>
      <c r="C26" s="126" t="str">
        <f t="shared" si="0"/>
        <v/>
      </c>
      <c r="D26" s="126"/>
      <c r="E26" s="126"/>
      <c r="G26" s="30" t="s">
        <v>1</v>
      </c>
      <c r="H26" s="31"/>
      <c r="I26" s="32">
        <f>SUM(I18:I25)</f>
        <v>63833.333333333336</v>
      </c>
      <c r="J26" s="32">
        <f t="shared" ref="J26:T26" si="6">SUM(J18:J25)</f>
        <v>63833.333333333336</v>
      </c>
      <c r="K26" s="32">
        <f t="shared" si="6"/>
        <v>72166.666666666672</v>
      </c>
      <c r="L26" s="32">
        <f t="shared" si="6"/>
        <v>72166.666666666672</v>
      </c>
      <c r="M26" s="32">
        <f t="shared" si="6"/>
        <v>92166.666666666672</v>
      </c>
      <c r="N26" s="32">
        <f t="shared" si="6"/>
        <v>92166.666666666672</v>
      </c>
      <c r="O26" s="32">
        <f t="shared" si="6"/>
        <v>92166.666666666672</v>
      </c>
      <c r="P26" s="32">
        <f t="shared" si="6"/>
        <v>92166.666666666672</v>
      </c>
      <c r="Q26" s="32">
        <f t="shared" si="6"/>
        <v>93166.666666666672</v>
      </c>
      <c r="R26" s="32">
        <f t="shared" si="6"/>
        <v>93166.666666666672</v>
      </c>
      <c r="S26" s="32">
        <f t="shared" si="6"/>
        <v>93166.666666666672</v>
      </c>
      <c r="T26" s="32">
        <f t="shared" si="6"/>
        <v>93166.666666666672</v>
      </c>
      <c r="U26" s="33">
        <f>SUM(U18:U25)</f>
        <v>1013333.3333333334</v>
      </c>
    </row>
    <row r="27" spans="1:21" ht="15.75" thickTop="1" x14ac:dyDescent="0.3">
      <c r="A27" s="126"/>
      <c r="B27" s="126"/>
      <c r="C27" s="126" t="str">
        <f t="shared" si="0"/>
        <v/>
      </c>
      <c r="D27" s="126"/>
      <c r="E27" s="126"/>
      <c r="G27" s="26" t="s">
        <v>31</v>
      </c>
      <c r="H27" s="24"/>
      <c r="I27" s="24"/>
      <c r="J27" s="24"/>
      <c r="K27" s="24"/>
      <c r="L27" s="24"/>
      <c r="M27" s="24"/>
      <c r="N27" s="24"/>
      <c r="O27" s="24"/>
      <c r="P27" s="24"/>
      <c r="Q27" s="24"/>
      <c r="R27" s="24"/>
      <c r="S27" s="24"/>
      <c r="T27" s="24"/>
      <c r="U27" s="34"/>
    </row>
    <row r="28" spans="1:21" ht="16.5" x14ac:dyDescent="0.3">
      <c r="A28" s="126">
        <v>6</v>
      </c>
      <c r="B28" s="199" t="s">
        <v>222</v>
      </c>
      <c r="C28" s="126" t="str">
        <f t="shared" si="0"/>
        <v>076</v>
      </c>
      <c r="D28" s="126" t="s">
        <v>31</v>
      </c>
      <c r="E28" t="s">
        <v>369</v>
      </c>
      <c r="G28" s="27" t="s">
        <v>40</v>
      </c>
      <c r="H28" s="24"/>
      <c r="I28" s="28"/>
      <c r="J28" s="28"/>
      <c r="K28" s="28">
        <v>10000</v>
      </c>
      <c r="L28" s="28"/>
      <c r="M28" s="28"/>
      <c r="N28" s="28"/>
      <c r="O28" s="28"/>
      <c r="P28" s="28"/>
      <c r="Q28" s="28"/>
      <c r="R28" s="28"/>
      <c r="S28" s="28">
        <v>10000</v>
      </c>
      <c r="T28" s="28"/>
      <c r="U28" s="29">
        <f>SUM(I28:T28)</f>
        <v>20000</v>
      </c>
    </row>
    <row r="29" spans="1:21" ht="16.5" x14ac:dyDescent="0.3">
      <c r="A29" s="126">
        <v>6</v>
      </c>
      <c r="B29" s="199" t="s">
        <v>212</v>
      </c>
      <c r="C29" s="126" t="str">
        <f t="shared" si="0"/>
        <v>016</v>
      </c>
      <c r="D29" s="126" t="s">
        <v>31</v>
      </c>
      <c r="E29" t="s">
        <v>299</v>
      </c>
      <c r="G29" s="27" t="s">
        <v>48</v>
      </c>
      <c r="H29" s="24"/>
      <c r="I29" s="28"/>
      <c r="J29" s="28"/>
      <c r="K29" s="28">
        <v>500</v>
      </c>
      <c r="L29" s="28"/>
      <c r="M29" s="28"/>
      <c r="N29" s="28">
        <v>500</v>
      </c>
      <c r="O29" s="28"/>
      <c r="P29" s="28"/>
      <c r="Q29" s="28"/>
      <c r="R29" s="28">
        <v>500</v>
      </c>
      <c r="S29" s="28"/>
      <c r="T29" s="28">
        <v>500</v>
      </c>
      <c r="U29" s="29">
        <f>SUM(I29:T29)</f>
        <v>2000</v>
      </c>
    </row>
    <row r="30" spans="1:21" ht="16.5" x14ac:dyDescent="0.3">
      <c r="A30" s="126">
        <v>6</v>
      </c>
      <c r="B30" s="199" t="s">
        <v>212</v>
      </c>
      <c r="C30" s="126" t="str">
        <f t="shared" si="0"/>
        <v>016</v>
      </c>
      <c r="D30" s="126" t="s">
        <v>31</v>
      </c>
      <c r="E30" t="s">
        <v>299</v>
      </c>
      <c r="G30" s="27" t="s">
        <v>49</v>
      </c>
      <c r="H30" s="24"/>
      <c r="I30" s="28"/>
      <c r="J30" s="28"/>
      <c r="K30" s="28"/>
      <c r="L30" s="28"/>
      <c r="M30" s="28"/>
      <c r="N30" s="28"/>
      <c r="O30" s="28"/>
      <c r="P30" s="28"/>
      <c r="Q30" s="28"/>
      <c r="R30" s="28"/>
      <c r="S30" s="28"/>
      <c r="T30" s="28"/>
      <c r="U30" s="29">
        <f>SUM(I30:T30)</f>
        <v>0</v>
      </c>
    </row>
    <row r="31" spans="1:21" ht="16.5" x14ac:dyDescent="0.3">
      <c r="A31" s="126">
        <v>6</v>
      </c>
      <c r="B31" s="199" t="s">
        <v>212</v>
      </c>
      <c r="C31" s="126" t="str">
        <f t="shared" si="0"/>
        <v>016</v>
      </c>
      <c r="D31" s="126" t="s">
        <v>31</v>
      </c>
      <c r="E31" t="s">
        <v>299</v>
      </c>
      <c r="F31" s="35">
        <v>0.1</v>
      </c>
      <c r="G31" s="36" t="str">
        <f>"Contingency"&amp;" "&amp;"at"&amp;" "&amp;(F31*100)&amp;"%"</f>
        <v>Contingency at 10%</v>
      </c>
      <c r="H31" s="37"/>
      <c r="I31" s="38">
        <f>SUM(I28:I30)*$F$31</f>
        <v>0</v>
      </c>
      <c r="J31" s="38">
        <f t="shared" ref="J31:T31" si="7">SUM(J28:J30)*$F$31</f>
        <v>0</v>
      </c>
      <c r="K31" s="38">
        <f t="shared" si="7"/>
        <v>1050</v>
      </c>
      <c r="L31" s="38">
        <f t="shared" si="7"/>
        <v>0</v>
      </c>
      <c r="M31" s="38">
        <f t="shared" si="7"/>
        <v>0</v>
      </c>
      <c r="N31" s="38">
        <f t="shared" si="7"/>
        <v>50</v>
      </c>
      <c r="O31" s="38">
        <f t="shared" si="7"/>
        <v>0</v>
      </c>
      <c r="P31" s="38">
        <f t="shared" si="7"/>
        <v>0</v>
      </c>
      <c r="Q31" s="38">
        <f t="shared" si="7"/>
        <v>0</v>
      </c>
      <c r="R31" s="38">
        <f t="shared" si="7"/>
        <v>50</v>
      </c>
      <c r="S31" s="38">
        <f t="shared" si="7"/>
        <v>1000</v>
      </c>
      <c r="T31" s="38">
        <f t="shared" si="7"/>
        <v>50</v>
      </c>
      <c r="U31" s="39">
        <f>SUM(I31:T31)</f>
        <v>2200</v>
      </c>
    </row>
    <row r="32" spans="1:21" ht="15.75" thickBot="1" x14ac:dyDescent="0.35">
      <c r="A32" s="126"/>
      <c r="B32" s="126"/>
      <c r="C32" s="126" t="str">
        <f t="shared" si="0"/>
        <v/>
      </c>
      <c r="D32" s="126"/>
      <c r="E32" s="126"/>
      <c r="G32" s="30" t="s">
        <v>1</v>
      </c>
      <c r="H32" s="31"/>
      <c r="I32" s="32">
        <f>SUM(I28:I31)</f>
        <v>0</v>
      </c>
      <c r="J32" s="32">
        <f t="shared" ref="J32:T32" si="8">SUM(J28:J31)</f>
        <v>0</v>
      </c>
      <c r="K32" s="32">
        <f t="shared" si="8"/>
        <v>11550</v>
      </c>
      <c r="L32" s="32">
        <f t="shared" si="8"/>
        <v>0</v>
      </c>
      <c r="M32" s="32">
        <f t="shared" si="8"/>
        <v>0</v>
      </c>
      <c r="N32" s="32">
        <f t="shared" si="8"/>
        <v>550</v>
      </c>
      <c r="O32" s="32">
        <f t="shared" si="8"/>
        <v>0</v>
      </c>
      <c r="P32" s="32">
        <f t="shared" si="8"/>
        <v>0</v>
      </c>
      <c r="Q32" s="32">
        <f t="shared" si="8"/>
        <v>0</v>
      </c>
      <c r="R32" s="32">
        <f t="shared" si="8"/>
        <v>550</v>
      </c>
      <c r="S32" s="32">
        <f t="shared" si="8"/>
        <v>11000</v>
      </c>
      <c r="T32" s="32">
        <f t="shared" si="8"/>
        <v>550</v>
      </c>
      <c r="U32" s="33">
        <f>SUM(U28:U31)</f>
        <v>24200</v>
      </c>
    </row>
    <row r="33" spans="1:21" ht="15.75" thickTop="1" x14ac:dyDescent="0.3">
      <c r="A33" s="126"/>
      <c r="B33" s="126"/>
      <c r="C33" s="126" t="str">
        <f t="shared" si="0"/>
        <v/>
      </c>
      <c r="D33" s="126"/>
      <c r="E33" s="126"/>
      <c r="G33" s="26" t="s">
        <v>204</v>
      </c>
      <c r="H33" s="24"/>
      <c r="I33" s="24"/>
      <c r="J33" s="24"/>
      <c r="K33" s="24"/>
      <c r="L33" s="24"/>
      <c r="M33" s="24"/>
      <c r="N33" s="24"/>
      <c r="O33" s="24"/>
      <c r="P33" s="24"/>
      <c r="Q33" s="24"/>
      <c r="R33" s="24"/>
      <c r="S33" s="24"/>
      <c r="T33" s="24"/>
      <c r="U33" s="34"/>
    </row>
    <row r="34" spans="1:21" ht="16.5" x14ac:dyDescent="0.3">
      <c r="A34" s="126">
        <v>4</v>
      </c>
      <c r="B34" s="199" t="s">
        <v>212</v>
      </c>
      <c r="C34" s="126" t="str">
        <f t="shared" si="0"/>
        <v>014</v>
      </c>
      <c r="D34" s="126" t="s">
        <v>244</v>
      </c>
      <c r="E34" t="s">
        <v>295</v>
      </c>
      <c r="G34" s="27" t="s">
        <v>41</v>
      </c>
      <c r="H34" s="24"/>
      <c r="I34" s="28">
        <v>600</v>
      </c>
      <c r="J34" s="28">
        <v>600</v>
      </c>
      <c r="K34" s="28">
        <v>600</v>
      </c>
      <c r="L34" s="28">
        <v>600</v>
      </c>
      <c r="M34" s="28">
        <v>600</v>
      </c>
      <c r="N34" s="28">
        <v>600</v>
      </c>
      <c r="O34" s="28">
        <v>600</v>
      </c>
      <c r="P34" s="28">
        <v>600</v>
      </c>
      <c r="Q34" s="28">
        <v>600</v>
      </c>
      <c r="R34" s="28">
        <v>600</v>
      </c>
      <c r="S34" s="28">
        <v>600</v>
      </c>
      <c r="T34" s="28">
        <v>600</v>
      </c>
      <c r="U34" s="29">
        <f>SUM(I34:T34)</f>
        <v>7200</v>
      </c>
    </row>
    <row r="35" spans="1:21" ht="16.5" x14ac:dyDescent="0.3">
      <c r="A35" s="126">
        <v>3</v>
      </c>
      <c r="B35" s="199" t="s">
        <v>212</v>
      </c>
      <c r="C35" s="126" t="str">
        <f t="shared" si="0"/>
        <v>013</v>
      </c>
      <c r="D35" s="126" t="s">
        <v>238</v>
      </c>
      <c r="E35" t="s">
        <v>285</v>
      </c>
      <c r="G35" s="27" t="s">
        <v>202</v>
      </c>
      <c r="H35" s="24"/>
      <c r="I35" s="28"/>
      <c r="J35" s="28"/>
      <c r="K35" s="28"/>
      <c r="L35" s="28"/>
      <c r="M35" s="28"/>
      <c r="N35" s="28"/>
      <c r="O35" s="28"/>
      <c r="P35" s="28"/>
      <c r="Q35" s="28"/>
      <c r="R35" s="28"/>
      <c r="S35" s="28"/>
      <c r="T35" s="28"/>
      <c r="U35" s="29">
        <f t="shared" ref="U35:U40" si="9">SUM(I35:T35)</f>
        <v>0</v>
      </c>
    </row>
    <row r="36" spans="1:21" ht="16.5" x14ac:dyDescent="0.3">
      <c r="A36" s="126">
        <v>3</v>
      </c>
      <c r="B36" s="199" t="s">
        <v>222</v>
      </c>
      <c r="C36" s="126" t="str">
        <f t="shared" si="0"/>
        <v>073</v>
      </c>
      <c r="D36" s="126" t="s">
        <v>238</v>
      </c>
      <c r="E36" t="s">
        <v>367</v>
      </c>
      <c r="G36" s="27" t="s">
        <v>201</v>
      </c>
      <c r="H36" s="24"/>
      <c r="I36" s="28">
        <v>125</v>
      </c>
      <c r="J36" s="28">
        <v>125</v>
      </c>
      <c r="K36" s="28">
        <v>125</v>
      </c>
      <c r="L36" s="28">
        <v>125</v>
      </c>
      <c r="M36" s="28">
        <v>125</v>
      </c>
      <c r="N36" s="28">
        <v>125</v>
      </c>
      <c r="O36" s="28">
        <v>125</v>
      </c>
      <c r="P36" s="28">
        <v>125</v>
      </c>
      <c r="Q36" s="28">
        <v>125</v>
      </c>
      <c r="R36" s="28">
        <v>125</v>
      </c>
      <c r="S36" s="28">
        <v>125</v>
      </c>
      <c r="T36" s="28">
        <v>125</v>
      </c>
      <c r="U36" s="29">
        <f t="shared" si="9"/>
        <v>1500</v>
      </c>
    </row>
    <row r="37" spans="1:21" ht="16.5" x14ac:dyDescent="0.3">
      <c r="A37" s="126">
        <v>3</v>
      </c>
      <c r="B37" s="199" t="s">
        <v>212</v>
      </c>
      <c r="C37" s="126" t="str">
        <f t="shared" si="0"/>
        <v>013</v>
      </c>
      <c r="D37" s="126" t="s">
        <v>238</v>
      </c>
      <c r="E37" t="s">
        <v>281</v>
      </c>
      <c r="G37" s="27" t="s">
        <v>203</v>
      </c>
      <c r="H37" s="24"/>
      <c r="I37" s="28">
        <v>400</v>
      </c>
      <c r="J37" s="28">
        <v>400</v>
      </c>
      <c r="K37" s="28">
        <v>400</v>
      </c>
      <c r="L37" s="28">
        <v>400</v>
      </c>
      <c r="M37" s="28">
        <v>400</v>
      </c>
      <c r="N37" s="28">
        <v>400</v>
      </c>
      <c r="O37" s="28">
        <v>400</v>
      </c>
      <c r="P37" s="28">
        <v>400</v>
      </c>
      <c r="Q37" s="28">
        <v>400</v>
      </c>
      <c r="R37" s="28">
        <v>400</v>
      </c>
      <c r="S37" s="28">
        <v>400</v>
      </c>
      <c r="T37" s="28">
        <v>400</v>
      </c>
      <c r="U37" s="29">
        <f t="shared" si="9"/>
        <v>4800</v>
      </c>
    </row>
    <row r="38" spans="1:21" ht="16.5" x14ac:dyDescent="0.3">
      <c r="A38" s="126">
        <v>4</v>
      </c>
      <c r="B38" s="199" t="s">
        <v>212</v>
      </c>
      <c r="C38" s="126" t="str">
        <f t="shared" si="0"/>
        <v>014</v>
      </c>
      <c r="D38" s="126" t="s">
        <v>244</v>
      </c>
      <c r="E38" t="s">
        <v>293</v>
      </c>
      <c r="G38" s="27" t="s">
        <v>45</v>
      </c>
      <c r="H38" s="24"/>
      <c r="I38" s="28">
        <v>250</v>
      </c>
      <c r="J38" s="28">
        <v>250</v>
      </c>
      <c r="K38" s="28">
        <v>250</v>
      </c>
      <c r="L38" s="28">
        <v>250</v>
      </c>
      <c r="M38" s="28">
        <v>250</v>
      </c>
      <c r="N38" s="28">
        <v>250</v>
      </c>
      <c r="O38" s="28">
        <v>250</v>
      </c>
      <c r="P38" s="28">
        <v>250</v>
      </c>
      <c r="Q38" s="28">
        <v>250</v>
      </c>
      <c r="R38" s="28">
        <v>250</v>
      </c>
      <c r="S38" s="28">
        <v>250</v>
      </c>
      <c r="T38" s="28">
        <v>250</v>
      </c>
      <c r="U38" s="29">
        <f t="shared" si="9"/>
        <v>3000</v>
      </c>
    </row>
    <row r="39" spans="1:21" ht="16.5" x14ac:dyDescent="0.3">
      <c r="A39" s="126">
        <v>4</v>
      </c>
      <c r="B39" s="199" t="s">
        <v>212</v>
      </c>
      <c r="C39" s="126" t="str">
        <f t="shared" si="0"/>
        <v>014</v>
      </c>
      <c r="D39" s="126" t="s">
        <v>244</v>
      </c>
      <c r="E39" t="s">
        <v>297</v>
      </c>
      <c r="G39" s="27" t="s">
        <v>46</v>
      </c>
      <c r="H39" s="24"/>
      <c r="I39" s="28">
        <v>250</v>
      </c>
      <c r="J39" s="28">
        <v>250</v>
      </c>
      <c r="K39" s="28">
        <v>250</v>
      </c>
      <c r="L39" s="28">
        <v>250</v>
      </c>
      <c r="M39" s="28">
        <v>250</v>
      </c>
      <c r="N39" s="28">
        <v>250</v>
      </c>
      <c r="O39" s="28">
        <v>250</v>
      </c>
      <c r="P39" s="28">
        <v>250</v>
      </c>
      <c r="Q39" s="28">
        <v>250</v>
      </c>
      <c r="R39" s="28">
        <v>250</v>
      </c>
      <c r="S39" s="28">
        <v>250</v>
      </c>
      <c r="T39" s="28">
        <v>250</v>
      </c>
      <c r="U39" s="29">
        <f t="shared" si="9"/>
        <v>3000</v>
      </c>
    </row>
    <row r="40" spans="1:21" ht="16.5" x14ac:dyDescent="0.3">
      <c r="A40" s="126">
        <v>4</v>
      </c>
      <c r="B40" s="199" t="s">
        <v>212</v>
      </c>
      <c r="C40" s="126" t="str">
        <f t="shared" si="0"/>
        <v>014</v>
      </c>
      <c r="D40" s="126" t="s">
        <v>244</v>
      </c>
      <c r="E40" t="s">
        <v>297</v>
      </c>
      <c r="F40" s="35">
        <v>0.25</v>
      </c>
      <c r="G40" s="36" t="str">
        <f>"Contingency"&amp;" "&amp;"at"&amp;" "&amp;(F40*100)&amp;"%"</f>
        <v>Contingency at 25%</v>
      </c>
      <c r="H40" s="37"/>
      <c r="I40" s="38">
        <f t="shared" ref="I40:T40" si="10">SUM(I34:I39)*$F$40</f>
        <v>406.25</v>
      </c>
      <c r="J40" s="38">
        <f t="shared" si="10"/>
        <v>406.25</v>
      </c>
      <c r="K40" s="38">
        <f t="shared" si="10"/>
        <v>406.25</v>
      </c>
      <c r="L40" s="38">
        <f t="shared" si="10"/>
        <v>406.25</v>
      </c>
      <c r="M40" s="38">
        <f t="shared" si="10"/>
        <v>406.25</v>
      </c>
      <c r="N40" s="38">
        <f t="shared" si="10"/>
        <v>406.25</v>
      </c>
      <c r="O40" s="38">
        <f t="shared" si="10"/>
        <v>406.25</v>
      </c>
      <c r="P40" s="38">
        <f t="shared" si="10"/>
        <v>406.25</v>
      </c>
      <c r="Q40" s="38">
        <f t="shared" si="10"/>
        <v>406.25</v>
      </c>
      <c r="R40" s="38">
        <f t="shared" si="10"/>
        <v>406.25</v>
      </c>
      <c r="S40" s="38">
        <f t="shared" si="10"/>
        <v>406.25</v>
      </c>
      <c r="T40" s="38">
        <f t="shared" si="10"/>
        <v>406.25</v>
      </c>
      <c r="U40" s="39">
        <f t="shared" si="9"/>
        <v>4875</v>
      </c>
    </row>
    <row r="41" spans="1:21" ht="15.75" thickBot="1" x14ac:dyDescent="0.35">
      <c r="A41" s="126"/>
      <c r="B41" s="126"/>
      <c r="C41" s="126" t="str">
        <f t="shared" si="0"/>
        <v/>
      </c>
      <c r="D41" s="126"/>
      <c r="E41" s="126"/>
      <c r="G41" s="30" t="s">
        <v>1</v>
      </c>
      <c r="H41" s="31"/>
      <c r="I41" s="32">
        <f>SUM(I34:I40)</f>
        <v>2031.25</v>
      </c>
      <c r="J41" s="32">
        <f t="shared" ref="J41:T41" si="11">SUM(J34:J40)</f>
        <v>2031.25</v>
      </c>
      <c r="K41" s="32">
        <f t="shared" si="11"/>
        <v>2031.25</v>
      </c>
      <c r="L41" s="32">
        <f t="shared" si="11"/>
        <v>2031.25</v>
      </c>
      <c r="M41" s="32">
        <f t="shared" si="11"/>
        <v>2031.25</v>
      </c>
      <c r="N41" s="32">
        <f t="shared" si="11"/>
        <v>2031.25</v>
      </c>
      <c r="O41" s="32">
        <f t="shared" si="11"/>
        <v>2031.25</v>
      </c>
      <c r="P41" s="32">
        <f t="shared" si="11"/>
        <v>2031.25</v>
      </c>
      <c r="Q41" s="32">
        <f t="shared" si="11"/>
        <v>2031.25</v>
      </c>
      <c r="R41" s="32">
        <f t="shared" si="11"/>
        <v>2031.25</v>
      </c>
      <c r="S41" s="32">
        <f t="shared" si="11"/>
        <v>2031.25</v>
      </c>
      <c r="T41" s="32">
        <f t="shared" si="11"/>
        <v>2031.25</v>
      </c>
      <c r="U41" s="33">
        <f>SUM(U34:U40)</f>
        <v>24375</v>
      </c>
    </row>
    <row r="42" spans="1:21" ht="15.75" thickTop="1" x14ac:dyDescent="0.3">
      <c r="A42" s="126"/>
      <c r="B42" s="126"/>
      <c r="C42" s="126" t="str">
        <f t="shared" si="0"/>
        <v/>
      </c>
      <c r="D42" s="126"/>
      <c r="E42" s="126"/>
      <c r="G42" s="26" t="s">
        <v>439</v>
      </c>
      <c r="H42" s="24"/>
      <c r="I42" s="28"/>
      <c r="J42" s="28"/>
      <c r="K42" s="28"/>
      <c r="L42" s="28"/>
      <c r="M42" s="28"/>
      <c r="N42" s="28"/>
      <c r="O42" s="28"/>
      <c r="P42" s="28"/>
      <c r="Q42" s="28"/>
      <c r="R42" s="28"/>
      <c r="S42" s="28"/>
      <c r="T42" s="28"/>
      <c r="U42" s="34"/>
    </row>
    <row r="43" spans="1:21" ht="16.5" x14ac:dyDescent="0.3">
      <c r="A43" s="126">
        <v>3</v>
      </c>
      <c r="B43" s="199" t="s">
        <v>219</v>
      </c>
      <c r="C43" s="126" t="str">
        <f t="shared" si="0"/>
        <v>043</v>
      </c>
      <c r="D43" s="126" t="s">
        <v>238</v>
      </c>
      <c r="E43" t="s">
        <v>343</v>
      </c>
      <c r="G43" s="27" t="s">
        <v>344</v>
      </c>
      <c r="H43" s="24"/>
      <c r="I43" s="28">
        <v>10000</v>
      </c>
      <c r="J43" s="28">
        <v>10000</v>
      </c>
      <c r="K43" s="28">
        <v>10000</v>
      </c>
      <c r="L43" s="28">
        <v>10000</v>
      </c>
      <c r="M43" s="28">
        <v>10000</v>
      </c>
      <c r="N43" s="28">
        <v>10000</v>
      </c>
      <c r="O43" s="28">
        <v>10000</v>
      </c>
      <c r="P43" s="28">
        <v>10000</v>
      </c>
      <c r="Q43" s="28">
        <v>10000</v>
      </c>
      <c r="R43" s="28">
        <v>10000</v>
      </c>
      <c r="S43" s="28">
        <v>10000</v>
      </c>
      <c r="T43" s="28">
        <v>10000</v>
      </c>
      <c r="U43" s="29">
        <f>SUM(I43:T43)</f>
        <v>120000</v>
      </c>
    </row>
    <row r="44" spans="1:21" ht="16.5" x14ac:dyDescent="0.3">
      <c r="A44" s="126">
        <v>3</v>
      </c>
      <c r="B44" s="199" t="s">
        <v>219</v>
      </c>
      <c r="C44" s="126" t="str">
        <f t="shared" si="0"/>
        <v>043</v>
      </c>
      <c r="D44" s="126" t="s">
        <v>238</v>
      </c>
      <c r="E44" t="s">
        <v>345</v>
      </c>
      <c r="G44" s="27" t="s">
        <v>346</v>
      </c>
      <c r="H44" s="24"/>
      <c r="I44" s="28"/>
      <c r="J44" s="28"/>
      <c r="K44" s="28"/>
      <c r="L44" s="28"/>
      <c r="M44" s="28"/>
      <c r="N44" s="28"/>
      <c r="O44" s="28"/>
      <c r="P44" s="28"/>
      <c r="Q44" s="28"/>
      <c r="R44" s="28"/>
      <c r="S44" s="28"/>
      <c r="T44" s="28"/>
      <c r="U44" s="29">
        <f t="shared" ref="U44:U45" si="12">SUM(I44:T44)</f>
        <v>0</v>
      </c>
    </row>
    <row r="45" spans="1:21" ht="16.5" x14ac:dyDescent="0.3">
      <c r="A45" s="126">
        <v>3</v>
      </c>
      <c r="B45" s="199" t="s">
        <v>220</v>
      </c>
      <c r="C45" s="126" t="str">
        <f t="shared" si="0"/>
        <v>053</v>
      </c>
      <c r="D45" s="126" t="s">
        <v>238</v>
      </c>
      <c r="E45" t="s">
        <v>351</v>
      </c>
      <c r="G45" s="27" t="s">
        <v>352</v>
      </c>
      <c r="H45" s="24"/>
      <c r="I45" s="28"/>
      <c r="J45" s="28"/>
      <c r="K45" s="28"/>
      <c r="L45" s="28"/>
      <c r="M45" s="28"/>
      <c r="N45" s="28"/>
      <c r="O45" s="28"/>
      <c r="P45" s="28"/>
      <c r="Q45" s="28"/>
      <c r="R45" s="28"/>
      <c r="S45" s="28"/>
      <c r="T45" s="28"/>
      <c r="U45" s="29">
        <f t="shared" si="12"/>
        <v>0</v>
      </c>
    </row>
    <row r="46" spans="1:21" ht="16.5" x14ac:dyDescent="0.3">
      <c r="A46" s="126">
        <v>7</v>
      </c>
      <c r="B46" s="199" t="s">
        <v>219</v>
      </c>
      <c r="C46" s="126" t="str">
        <f t="shared" si="0"/>
        <v>047</v>
      </c>
      <c r="D46" s="126" t="s">
        <v>256</v>
      </c>
      <c r="E46" t="s">
        <v>349</v>
      </c>
      <c r="G46" s="27" t="s">
        <v>46</v>
      </c>
      <c r="H46" s="24"/>
      <c r="I46" s="246"/>
      <c r="J46" s="246"/>
      <c r="K46" s="246"/>
      <c r="L46" s="246"/>
      <c r="M46" s="246"/>
      <c r="N46" s="246"/>
      <c r="O46" s="246"/>
      <c r="P46" s="246"/>
      <c r="Q46" s="246"/>
      <c r="R46" s="246"/>
      <c r="S46" s="246"/>
      <c r="T46" s="246"/>
      <c r="U46" s="29">
        <f t="shared" ref="U46:U50" si="13">SUM(I46:T46)</f>
        <v>0</v>
      </c>
    </row>
    <row r="47" spans="1:21" ht="16.5" x14ac:dyDescent="0.3">
      <c r="A47" s="126">
        <v>7</v>
      </c>
      <c r="B47" s="199" t="s">
        <v>220</v>
      </c>
      <c r="C47" s="126" t="str">
        <f t="shared" si="0"/>
        <v>057</v>
      </c>
      <c r="D47" s="126" t="s">
        <v>256</v>
      </c>
      <c r="E47" t="s">
        <v>357</v>
      </c>
      <c r="G47" s="27" t="s">
        <v>627</v>
      </c>
      <c r="H47" s="24"/>
      <c r="I47" s="246"/>
      <c r="J47" s="246"/>
      <c r="K47" s="246"/>
      <c r="L47" s="246"/>
      <c r="M47" s="246"/>
      <c r="N47" s="246">
        <v>50000</v>
      </c>
      <c r="O47" s="246"/>
      <c r="P47" s="246"/>
      <c r="Q47" s="246">
        <v>50000</v>
      </c>
      <c r="R47" s="246"/>
      <c r="S47" s="246">
        <v>50000</v>
      </c>
      <c r="T47" s="246">
        <v>100000</v>
      </c>
      <c r="U47" s="29">
        <f t="shared" si="13"/>
        <v>250000</v>
      </c>
    </row>
    <row r="48" spans="1:21" ht="16.5" x14ac:dyDescent="0.3">
      <c r="A48" s="126"/>
      <c r="B48" s="126"/>
      <c r="C48" s="126" t="str">
        <f t="shared" si="0"/>
        <v/>
      </c>
      <c r="D48" s="126"/>
      <c r="E48"/>
      <c r="G48" s="249" t="s">
        <v>621</v>
      </c>
      <c r="H48" s="24"/>
      <c r="I48" s="246"/>
      <c r="J48" s="246"/>
      <c r="K48" s="246"/>
      <c r="L48" s="246"/>
      <c r="M48" s="246"/>
      <c r="N48" s="246">
        <v>5000</v>
      </c>
      <c r="O48" s="246">
        <v>5000</v>
      </c>
      <c r="P48" s="246">
        <v>5000</v>
      </c>
      <c r="Q48" s="246">
        <v>5000</v>
      </c>
      <c r="R48" s="246">
        <v>5000</v>
      </c>
      <c r="S48" s="246">
        <v>5000</v>
      </c>
      <c r="T48" s="246">
        <v>5000</v>
      </c>
      <c r="U48" s="29">
        <f t="shared" si="13"/>
        <v>35000</v>
      </c>
    </row>
    <row r="49" spans="1:21" x14ac:dyDescent="0.3">
      <c r="A49" s="126"/>
      <c r="B49" s="126"/>
      <c r="C49" s="126" t="str">
        <f t="shared" si="0"/>
        <v/>
      </c>
      <c r="D49" s="126"/>
      <c r="E49" s="126"/>
      <c r="G49" s="27" t="s">
        <v>622</v>
      </c>
      <c r="H49" s="24"/>
      <c r="I49" s="28">
        <v>3800</v>
      </c>
      <c r="J49" s="28"/>
      <c r="K49" s="28">
        <v>4000</v>
      </c>
      <c r="L49" s="28">
        <v>4000</v>
      </c>
      <c r="M49" s="28"/>
      <c r="N49" s="28">
        <v>4000</v>
      </c>
      <c r="O49" s="28">
        <v>4000</v>
      </c>
      <c r="P49" s="28"/>
      <c r="Q49" s="28"/>
      <c r="R49" s="28">
        <v>4000</v>
      </c>
      <c r="S49" s="28"/>
      <c r="T49" s="28"/>
      <c r="U49" s="29">
        <f t="shared" si="13"/>
        <v>23800</v>
      </c>
    </row>
    <row r="50" spans="1:21" ht="16.5" x14ac:dyDescent="0.3">
      <c r="A50" s="126">
        <v>3</v>
      </c>
      <c r="B50" s="199" t="s">
        <v>219</v>
      </c>
      <c r="C50" s="126" t="str">
        <f t="shared" ref="C50" si="14">CONCATENATE(B50,A50)</f>
        <v>043</v>
      </c>
      <c r="D50" s="126" t="s">
        <v>238</v>
      </c>
      <c r="E50" t="s">
        <v>343</v>
      </c>
      <c r="F50" s="35">
        <v>0.1</v>
      </c>
      <c r="G50" s="36" t="str">
        <f>"Contingency"&amp;" "&amp;"at"&amp;" "&amp;(F50*100)&amp;"%"</f>
        <v>Contingency at 10%</v>
      </c>
      <c r="H50" s="24"/>
      <c r="I50" s="28">
        <f t="shared" ref="I50:T50" si="15">SUM(I43:I49)*$F$50</f>
        <v>1380</v>
      </c>
      <c r="J50" s="28">
        <f t="shared" si="15"/>
        <v>1000</v>
      </c>
      <c r="K50" s="28">
        <f t="shared" si="15"/>
        <v>1400</v>
      </c>
      <c r="L50" s="28">
        <f t="shared" si="15"/>
        <v>1400</v>
      </c>
      <c r="M50" s="28">
        <f t="shared" si="15"/>
        <v>1000</v>
      </c>
      <c r="N50" s="28">
        <f t="shared" si="15"/>
        <v>6900</v>
      </c>
      <c r="O50" s="28">
        <f t="shared" si="15"/>
        <v>1900</v>
      </c>
      <c r="P50" s="28">
        <f t="shared" si="15"/>
        <v>1500</v>
      </c>
      <c r="Q50" s="28">
        <f t="shared" si="15"/>
        <v>6500</v>
      </c>
      <c r="R50" s="28">
        <f t="shared" si="15"/>
        <v>1900</v>
      </c>
      <c r="S50" s="28">
        <f t="shared" si="15"/>
        <v>6500</v>
      </c>
      <c r="T50" s="28">
        <f t="shared" si="15"/>
        <v>11500</v>
      </c>
      <c r="U50" s="29">
        <f t="shared" si="13"/>
        <v>42880</v>
      </c>
    </row>
    <row r="51" spans="1:21" ht="15.75" thickBot="1" x14ac:dyDescent="0.35">
      <c r="A51" s="126"/>
      <c r="B51" s="126"/>
      <c r="C51" s="126" t="str">
        <f t="shared" si="0"/>
        <v/>
      </c>
      <c r="D51" s="126"/>
      <c r="E51" s="126"/>
      <c r="G51" s="30" t="s">
        <v>1</v>
      </c>
      <c r="H51" s="31"/>
      <c r="I51" s="32">
        <f t="shared" ref="I51:U51" si="16">SUM(I43:I50)</f>
        <v>15180</v>
      </c>
      <c r="J51" s="32">
        <f t="shared" si="16"/>
        <v>11000</v>
      </c>
      <c r="K51" s="32">
        <f t="shared" si="16"/>
        <v>15400</v>
      </c>
      <c r="L51" s="32">
        <f t="shared" si="16"/>
        <v>15400</v>
      </c>
      <c r="M51" s="32">
        <f t="shared" si="16"/>
        <v>11000</v>
      </c>
      <c r="N51" s="32">
        <f t="shared" si="16"/>
        <v>75900</v>
      </c>
      <c r="O51" s="32">
        <f t="shared" si="16"/>
        <v>20900</v>
      </c>
      <c r="P51" s="32">
        <f t="shared" si="16"/>
        <v>16500</v>
      </c>
      <c r="Q51" s="32">
        <f t="shared" si="16"/>
        <v>71500</v>
      </c>
      <c r="R51" s="32">
        <f t="shared" si="16"/>
        <v>20900</v>
      </c>
      <c r="S51" s="32">
        <f t="shared" si="16"/>
        <v>71500</v>
      </c>
      <c r="T51" s="32">
        <f t="shared" si="16"/>
        <v>126500</v>
      </c>
      <c r="U51" s="33">
        <f t="shared" si="16"/>
        <v>471680</v>
      </c>
    </row>
    <row r="52" spans="1:21" ht="15.75" thickTop="1" x14ac:dyDescent="0.3">
      <c r="A52" s="126"/>
      <c r="B52" s="126"/>
      <c r="C52" s="126" t="str">
        <f t="shared" si="0"/>
        <v/>
      </c>
      <c r="D52" s="126"/>
      <c r="E52" s="126"/>
      <c r="G52" s="26" t="s">
        <v>58</v>
      </c>
      <c r="H52" s="24"/>
      <c r="I52" s="24"/>
      <c r="J52" s="24"/>
      <c r="K52" s="24"/>
      <c r="L52" s="24"/>
      <c r="M52" s="24"/>
      <c r="N52" s="24"/>
      <c r="O52" s="24"/>
      <c r="P52" s="24"/>
      <c r="Q52" s="24"/>
      <c r="R52" s="24"/>
      <c r="S52" s="24"/>
      <c r="T52" s="24"/>
      <c r="U52" s="34"/>
    </row>
    <row r="53" spans="1:21" ht="16.5" x14ac:dyDescent="0.3">
      <c r="A53" s="126">
        <v>1</v>
      </c>
      <c r="B53" s="199" t="s">
        <v>217</v>
      </c>
      <c r="C53" s="126" t="str">
        <f t="shared" si="0"/>
        <v>021</v>
      </c>
      <c r="D53" s="126" t="s">
        <v>30</v>
      </c>
      <c r="E53" t="s">
        <v>321</v>
      </c>
      <c r="G53" s="27" t="s">
        <v>47</v>
      </c>
      <c r="H53" s="24"/>
      <c r="I53" s="28"/>
      <c r="J53" s="28"/>
      <c r="K53" s="28"/>
      <c r="L53" s="28"/>
      <c r="M53" s="28"/>
      <c r="N53" s="28"/>
      <c r="O53" s="28"/>
      <c r="P53" s="28"/>
      <c r="Q53" s="28"/>
      <c r="R53" s="28"/>
      <c r="S53" s="28"/>
      <c r="T53" s="28"/>
      <c r="U53" s="29">
        <f>SUM(I53:T53)</f>
        <v>0</v>
      </c>
    </row>
    <row r="54" spans="1:21" ht="16.5" x14ac:dyDescent="0.3">
      <c r="A54" s="126">
        <v>1</v>
      </c>
      <c r="B54" s="199" t="s">
        <v>217</v>
      </c>
      <c r="C54" s="126" t="str">
        <f t="shared" si="0"/>
        <v>021</v>
      </c>
      <c r="D54" s="126" t="s">
        <v>30</v>
      </c>
      <c r="E54" t="s">
        <v>309</v>
      </c>
      <c r="G54" s="27" t="s">
        <v>30</v>
      </c>
      <c r="H54" s="24"/>
      <c r="I54" s="28"/>
      <c r="J54" s="28">
        <f>'Travel Budget'!K21</f>
        <v>7080</v>
      </c>
      <c r="K54" s="28"/>
      <c r="L54" s="28"/>
      <c r="M54" s="28"/>
      <c r="N54" s="28">
        <v>20000</v>
      </c>
      <c r="O54" s="28">
        <f>'Travel Budget'!K26</f>
        <v>7850</v>
      </c>
      <c r="P54" s="28"/>
      <c r="Q54" s="28">
        <v>7850</v>
      </c>
      <c r="R54" s="28">
        <v>27190</v>
      </c>
      <c r="S54" s="28"/>
      <c r="T54" s="28"/>
      <c r="U54" s="29">
        <f t="shared" ref="U54:U63" si="17">SUM(I54:T54)</f>
        <v>69970</v>
      </c>
    </row>
    <row r="55" spans="1:21" ht="16.5" hidden="1" x14ac:dyDescent="0.3">
      <c r="A55" s="126">
        <v>1</v>
      </c>
      <c r="B55" s="199" t="s">
        <v>217</v>
      </c>
      <c r="C55" s="126" t="str">
        <f t="shared" si="0"/>
        <v>021</v>
      </c>
      <c r="D55" s="126" t="s">
        <v>30</v>
      </c>
      <c r="E55" t="s">
        <v>311</v>
      </c>
      <c r="G55" s="27" t="s">
        <v>229</v>
      </c>
      <c r="H55" s="24"/>
      <c r="I55" s="28"/>
      <c r="J55" s="28"/>
      <c r="K55" s="28"/>
      <c r="L55" s="28"/>
      <c r="M55" s="28"/>
      <c r="N55" s="28"/>
      <c r="O55" s="28"/>
      <c r="P55" s="28"/>
      <c r="Q55" s="28"/>
      <c r="R55" s="28"/>
      <c r="S55" s="28"/>
      <c r="T55" s="28"/>
      <c r="U55" s="29">
        <f t="shared" si="17"/>
        <v>0</v>
      </c>
    </row>
    <row r="56" spans="1:21" ht="16.5" hidden="1" x14ac:dyDescent="0.3">
      <c r="A56" s="126">
        <v>1</v>
      </c>
      <c r="B56" s="199" t="s">
        <v>217</v>
      </c>
      <c r="C56" s="126" t="str">
        <f t="shared" si="0"/>
        <v>021</v>
      </c>
      <c r="D56" s="126" t="s">
        <v>30</v>
      </c>
      <c r="E56" t="s">
        <v>313</v>
      </c>
      <c r="G56" s="27" t="s">
        <v>405</v>
      </c>
      <c r="H56" s="24"/>
      <c r="I56" s="28"/>
      <c r="J56" s="28"/>
      <c r="K56" s="28"/>
      <c r="L56" s="28"/>
      <c r="M56" s="28"/>
      <c r="N56" s="28"/>
      <c r="O56" s="28"/>
      <c r="P56" s="28"/>
      <c r="Q56" s="28"/>
      <c r="R56" s="28"/>
      <c r="S56" s="28"/>
      <c r="T56" s="28"/>
      <c r="U56" s="29">
        <f t="shared" si="17"/>
        <v>0</v>
      </c>
    </row>
    <row r="57" spans="1:21" ht="16.5" hidden="1" x14ac:dyDescent="0.3">
      <c r="A57" s="126">
        <v>1</v>
      </c>
      <c r="B57" s="199" t="s">
        <v>217</v>
      </c>
      <c r="C57" s="126" t="str">
        <f t="shared" si="0"/>
        <v>021</v>
      </c>
      <c r="D57" s="126" t="s">
        <v>30</v>
      </c>
      <c r="E57" t="s">
        <v>315</v>
      </c>
      <c r="G57" s="27" t="s">
        <v>404</v>
      </c>
      <c r="H57" s="24"/>
      <c r="I57" s="28"/>
      <c r="J57" s="28"/>
      <c r="K57" s="28"/>
      <c r="L57" s="28"/>
      <c r="M57" s="28"/>
      <c r="N57" s="28"/>
      <c r="O57" s="28"/>
      <c r="P57" s="28"/>
      <c r="Q57" s="28"/>
      <c r="R57" s="28"/>
      <c r="S57" s="28"/>
      <c r="T57" s="28"/>
      <c r="U57" s="29">
        <f t="shared" si="17"/>
        <v>0</v>
      </c>
    </row>
    <row r="58" spans="1:21" ht="16.5" hidden="1" x14ac:dyDescent="0.3">
      <c r="A58" s="126">
        <v>1</v>
      </c>
      <c r="B58" s="199" t="s">
        <v>217</v>
      </c>
      <c r="C58" s="126" t="str">
        <f t="shared" si="0"/>
        <v>021</v>
      </c>
      <c r="D58" s="126" t="s">
        <v>30</v>
      </c>
      <c r="E58" t="s">
        <v>317</v>
      </c>
      <c r="G58" s="27" t="s">
        <v>231</v>
      </c>
      <c r="H58" s="24"/>
      <c r="I58" s="28"/>
      <c r="J58" s="28"/>
      <c r="K58" s="28"/>
      <c r="L58" s="28"/>
      <c r="M58" s="28"/>
      <c r="N58" s="28"/>
      <c r="O58" s="28"/>
      <c r="P58" s="28"/>
      <c r="Q58" s="28"/>
      <c r="R58" s="28"/>
      <c r="S58" s="28"/>
      <c r="T58" s="28"/>
      <c r="U58" s="29">
        <f t="shared" si="17"/>
        <v>0</v>
      </c>
    </row>
    <row r="59" spans="1:21" ht="16.5" x14ac:dyDescent="0.3">
      <c r="A59" s="126">
        <v>5</v>
      </c>
      <c r="B59" s="199" t="s">
        <v>217</v>
      </c>
      <c r="C59" s="126" t="str">
        <f t="shared" si="0"/>
        <v>025</v>
      </c>
      <c r="D59" s="126" t="s">
        <v>251</v>
      </c>
      <c r="E59" t="s">
        <v>323</v>
      </c>
      <c r="G59" s="27" t="s">
        <v>53</v>
      </c>
      <c r="H59" s="24"/>
      <c r="I59" s="28"/>
      <c r="J59" s="28"/>
      <c r="K59" s="28"/>
      <c r="L59" s="28"/>
      <c r="M59" s="28"/>
      <c r="N59" s="28"/>
      <c r="O59" s="28"/>
      <c r="P59" s="28"/>
      <c r="Q59" s="28"/>
      <c r="R59" s="28">
        <v>10000</v>
      </c>
      <c r="S59" s="28"/>
      <c r="T59" s="28"/>
      <c r="U59" s="29">
        <f t="shared" si="17"/>
        <v>10000</v>
      </c>
    </row>
    <row r="60" spans="1:21" ht="16.5" x14ac:dyDescent="0.3">
      <c r="A60" s="126">
        <v>5</v>
      </c>
      <c r="B60" s="199" t="s">
        <v>217</v>
      </c>
      <c r="C60" s="126" t="str">
        <f t="shared" si="0"/>
        <v>025</v>
      </c>
      <c r="D60" s="126" t="s">
        <v>251</v>
      </c>
      <c r="E60" t="s">
        <v>409</v>
      </c>
      <c r="G60" s="27" t="s">
        <v>406</v>
      </c>
      <c r="H60" s="24"/>
      <c r="I60" s="28">
        <v>125</v>
      </c>
      <c r="J60" s="28">
        <v>125</v>
      </c>
      <c r="K60" s="28">
        <v>125</v>
      </c>
      <c r="L60" s="28">
        <v>125</v>
      </c>
      <c r="M60" s="28">
        <v>125</v>
      </c>
      <c r="N60" s="28">
        <v>125</v>
      </c>
      <c r="O60" s="28">
        <v>125</v>
      </c>
      <c r="P60" s="28">
        <v>125</v>
      </c>
      <c r="Q60" s="28">
        <v>125</v>
      </c>
      <c r="R60" s="28">
        <v>125</v>
      </c>
      <c r="S60" s="28">
        <v>125</v>
      </c>
      <c r="T60" s="28">
        <v>125</v>
      </c>
      <c r="U60" s="29">
        <f t="shared" si="17"/>
        <v>1500</v>
      </c>
    </row>
    <row r="61" spans="1:21" ht="16.5" x14ac:dyDescent="0.3">
      <c r="A61" s="126">
        <v>5</v>
      </c>
      <c r="B61" s="199" t="s">
        <v>217</v>
      </c>
      <c r="C61" s="126" t="str">
        <f t="shared" si="0"/>
        <v>025</v>
      </c>
      <c r="D61" s="126" t="s">
        <v>251</v>
      </c>
      <c r="E61" t="s">
        <v>410</v>
      </c>
      <c r="G61" s="27" t="s">
        <v>407</v>
      </c>
      <c r="H61" s="24"/>
      <c r="I61" s="28"/>
      <c r="J61" s="28">
        <v>1000</v>
      </c>
      <c r="K61" s="28"/>
      <c r="L61" s="28">
        <v>500</v>
      </c>
      <c r="M61" s="28"/>
      <c r="N61" s="28"/>
      <c r="O61" s="28">
        <v>500</v>
      </c>
      <c r="P61" s="28"/>
      <c r="Q61" s="28"/>
      <c r="R61" s="28">
        <v>500</v>
      </c>
      <c r="S61" s="28"/>
      <c r="T61" s="28">
        <v>500</v>
      </c>
      <c r="U61" s="29">
        <f t="shared" si="17"/>
        <v>3000</v>
      </c>
    </row>
    <row r="62" spans="1:21" ht="16.5" x14ac:dyDescent="0.3">
      <c r="A62" s="126">
        <v>5</v>
      </c>
      <c r="B62" s="199" t="s">
        <v>217</v>
      </c>
      <c r="C62" s="126" t="str">
        <f t="shared" si="0"/>
        <v>025</v>
      </c>
      <c r="D62" s="126" t="s">
        <v>251</v>
      </c>
      <c r="E62" t="s">
        <v>410</v>
      </c>
      <c r="G62" s="27" t="s">
        <v>46</v>
      </c>
      <c r="H62" s="24"/>
      <c r="I62" s="28"/>
      <c r="J62" s="28"/>
      <c r="K62" s="28"/>
      <c r="L62" s="28"/>
      <c r="M62" s="28"/>
      <c r="N62" s="28"/>
      <c r="O62" s="28"/>
      <c r="P62" s="28"/>
      <c r="Q62" s="28"/>
      <c r="R62" s="28"/>
      <c r="S62" s="28"/>
      <c r="T62" s="28"/>
      <c r="U62" s="29">
        <f t="shared" si="17"/>
        <v>0</v>
      </c>
    </row>
    <row r="63" spans="1:21" ht="16.5" x14ac:dyDescent="0.3">
      <c r="A63" s="126">
        <v>5</v>
      </c>
      <c r="B63" s="199" t="s">
        <v>217</v>
      </c>
      <c r="C63" s="126" t="str">
        <f t="shared" ref="C63" si="18">CONCATENATE(B63,A63)</f>
        <v>025</v>
      </c>
      <c r="D63" s="126" t="s">
        <v>251</v>
      </c>
      <c r="E63" t="s">
        <v>410</v>
      </c>
      <c r="F63" s="35">
        <v>0.1</v>
      </c>
      <c r="G63" s="36" t="str">
        <f>"Contingency"&amp;" "&amp;"at"&amp;" "&amp;(F63*100)&amp;"%"</f>
        <v>Contingency at 10%</v>
      </c>
      <c r="H63" s="37"/>
      <c r="I63" s="38">
        <f t="shared" ref="I63:T63" si="19">SUM(I53:I62)*$F$63</f>
        <v>12.5</v>
      </c>
      <c r="J63" s="38">
        <f t="shared" si="19"/>
        <v>820.5</v>
      </c>
      <c r="K63" s="38">
        <f t="shared" si="19"/>
        <v>12.5</v>
      </c>
      <c r="L63" s="38">
        <f t="shared" si="19"/>
        <v>62.5</v>
      </c>
      <c r="M63" s="38">
        <f t="shared" si="19"/>
        <v>12.5</v>
      </c>
      <c r="N63" s="38">
        <f t="shared" si="19"/>
        <v>2012.5</v>
      </c>
      <c r="O63" s="38">
        <f t="shared" si="19"/>
        <v>847.5</v>
      </c>
      <c r="P63" s="38">
        <f t="shared" si="19"/>
        <v>12.5</v>
      </c>
      <c r="Q63" s="38">
        <f t="shared" si="19"/>
        <v>797.5</v>
      </c>
      <c r="R63" s="38">
        <f t="shared" si="19"/>
        <v>3781.5</v>
      </c>
      <c r="S63" s="38">
        <f t="shared" si="19"/>
        <v>12.5</v>
      </c>
      <c r="T63" s="38">
        <f t="shared" si="19"/>
        <v>62.5</v>
      </c>
      <c r="U63" s="29">
        <f t="shared" si="17"/>
        <v>8447</v>
      </c>
    </row>
    <row r="64" spans="1:21" ht="15.75" thickBot="1" x14ac:dyDescent="0.35">
      <c r="A64" s="126"/>
      <c r="B64" s="126"/>
      <c r="C64" s="126"/>
      <c r="D64" s="126"/>
      <c r="E64" s="126"/>
      <c r="G64" s="30" t="s">
        <v>1</v>
      </c>
      <c r="H64" s="31"/>
      <c r="I64" s="32">
        <f t="shared" ref="I64:U64" si="20">SUM(I53:I63)</f>
        <v>137.5</v>
      </c>
      <c r="J64" s="32">
        <f t="shared" si="20"/>
        <v>9025.5</v>
      </c>
      <c r="K64" s="32">
        <f t="shared" si="20"/>
        <v>137.5</v>
      </c>
      <c r="L64" s="32">
        <f t="shared" si="20"/>
        <v>687.5</v>
      </c>
      <c r="M64" s="32">
        <f t="shared" si="20"/>
        <v>137.5</v>
      </c>
      <c r="N64" s="32">
        <f t="shared" si="20"/>
        <v>22137.5</v>
      </c>
      <c r="O64" s="32">
        <f t="shared" si="20"/>
        <v>9322.5</v>
      </c>
      <c r="P64" s="32">
        <f t="shared" si="20"/>
        <v>137.5</v>
      </c>
      <c r="Q64" s="32">
        <f t="shared" si="20"/>
        <v>8772.5</v>
      </c>
      <c r="R64" s="32">
        <f t="shared" si="20"/>
        <v>41596.5</v>
      </c>
      <c r="S64" s="32">
        <f t="shared" si="20"/>
        <v>137.5</v>
      </c>
      <c r="T64" s="32">
        <f t="shared" si="20"/>
        <v>687.5</v>
      </c>
      <c r="U64" s="33">
        <f t="shared" si="20"/>
        <v>92917</v>
      </c>
    </row>
    <row r="65" spans="1:25" ht="15.75" thickTop="1" x14ac:dyDescent="0.3">
      <c r="A65" s="126"/>
      <c r="B65" s="126"/>
      <c r="C65" s="126"/>
      <c r="D65" s="126"/>
      <c r="E65" s="126"/>
      <c r="G65" s="26"/>
      <c r="H65" s="24"/>
      <c r="I65" s="24"/>
      <c r="J65" s="24"/>
      <c r="K65" s="24"/>
      <c r="L65" s="24"/>
      <c r="M65" s="24"/>
      <c r="N65" s="24"/>
      <c r="O65" s="24"/>
      <c r="P65" s="24"/>
      <c r="Q65" s="24"/>
      <c r="R65" s="24"/>
      <c r="S65" s="24"/>
      <c r="T65" s="24"/>
      <c r="U65" s="34"/>
    </row>
    <row r="66" spans="1:25" ht="16.5" x14ac:dyDescent="0.3">
      <c r="A66" s="126"/>
      <c r="B66" s="199"/>
      <c r="C66" s="126"/>
      <c r="D66" s="126"/>
      <c r="E66"/>
      <c r="G66" s="27"/>
      <c r="H66" s="24"/>
      <c r="I66" s="24"/>
      <c r="J66" s="24"/>
      <c r="K66" s="24"/>
      <c r="L66" s="24"/>
      <c r="M66" s="24"/>
      <c r="N66" s="24"/>
      <c r="O66" s="24"/>
      <c r="P66" s="24"/>
      <c r="Q66" s="24"/>
      <c r="R66" s="24"/>
      <c r="S66" s="24"/>
      <c r="T66" s="24"/>
      <c r="U66" s="29"/>
    </row>
    <row r="67" spans="1:25" ht="16.5" x14ac:dyDescent="0.3">
      <c r="A67" s="126"/>
      <c r="B67" s="199"/>
      <c r="C67" s="126"/>
      <c r="D67" s="126"/>
      <c r="E67"/>
      <c r="G67" s="27"/>
      <c r="H67" s="24"/>
      <c r="I67" s="24"/>
      <c r="J67" s="24"/>
      <c r="K67" s="24"/>
      <c r="L67" s="24"/>
      <c r="M67" s="24"/>
      <c r="N67" s="24"/>
      <c r="O67" s="24"/>
      <c r="P67" s="24"/>
      <c r="Q67" s="24"/>
      <c r="R67" s="24"/>
      <c r="S67" s="24"/>
      <c r="T67" s="24"/>
      <c r="U67" s="29"/>
    </row>
    <row r="68" spans="1:25" ht="16.5" x14ac:dyDescent="0.3">
      <c r="A68" s="126"/>
      <c r="B68" s="199"/>
      <c r="C68" s="126"/>
      <c r="D68" s="126"/>
      <c r="E68"/>
      <c r="G68" s="27"/>
      <c r="H68" s="24"/>
      <c r="I68" s="24"/>
      <c r="J68" s="24"/>
      <c r="K68" s="24"/>
      <c r="L68" s="24"/>
      <c r="M68" s="24"/>
      <c r="N68" s="24"/>
      <c r="O68" s="24"/>
      <c r="P68" s="24"/>
      <c r="Q68" s="24"/>
      <c r="R68" s="24"/>
      <c r="S68" s="24"/>
      <c r="T68" s="24"/>
      <c r="U68" s="29"/>
    </row>
    <row r="69" spans="1:25" ht="16.5" x14ac:dyDescent="0.3">
      <c r="A69" s="126"/>
      <c r="B69" s="199"/>
      <c r="C69" s="126"/>
      <c r="D69" s="126"/>
      <c r="E69"/>
      <c r="G69" s="27"/>
      <c r="H69" s="24"/>
      <c r="I69" s="24"/>
      <c r="J69" s="24"/>
      <c r="K69" s="24"/>
      <c r="L69" s="24"/>
      <c r="M69" s="24"/>
      <c r="N69" s="24"/>
      <c r="O69" s="24"/>
      <c r="P69" s="24"/>
      <c r="Q69" s="24"/>
      <c r="R69" s="24"/>
      <c r="S69" s="24"/>
      <c r="T69" s="24"/>
      <c r="U69" s="29"/>
    </row>
    <row r="70" spans="1:25" ht="16.5" x14ac:dyDescent="0.3">
      <c r="A70" s="126"/>
      <c r="B70" s="199"/>
      <c r="C70" s="126"/>
      <c r="D70" s="126"/>
      <c r="E70"/>
      <c r="G70" s="27"/>
      <c r="H70" s="24"/>
      <c r="I70" s="24"/>
      <c r="J70" s="24"/>
      <c r="K70" s="24"/>
      <c r="L70" s="24"/>
      <c r="M70" s="24"/>
      <c r="N70" s="24"/>
      <c r="O70" s="24"/>
      <c r="P70" s="24"/>
      <c r="Q70" s="24"/>
      <c r="R70" s="24"/>
      <c r="S70" s="24"/>
      <c r="T70" s="24"/>
      <c r="U70" s="29"/>
    </row>
    <row r="71" spans="1:25" ht="16.5" x14ac:dyDescent="0.3">
      <c r="A71" s="126"/>
      <c r="B71" s="199"/>
      <c r="C71" s="126"/>
      <c r="D71" s="126"/>
      <c r="E71"/>
      <c r="F71" s="35"/>
      <c r="G71" s="36"/>
      <c r="H71" s="24"/>
      <c r="I71" s="28"/>
      <c r="J71" s="28"/>
      <c r="K71" s="28"/>
      <c r="L71" s="28"/>
      <c r="M71" s="28"/>
      <c r="N71" s="28"/>
      <c r="O71" s="28"/>
      <c r="P71" s="28"/>
      <c r="Q71" s="28"/>
      <c r="R71" s="28"/>
      <c r="S71" s="28"/>
      <c r="T71" s="28"/>
      <c r="U71" s="29"/>
    </row>
    <row r="72" spans="1:25" ht="15.75" thickBot="1" x14ac:dyDescent="0.35">
      <c r="A72" s="126"/>
      <c r="B72" s="126"/>
      <c r="C72" s="126"/>
      <c r="D72" s="126"/>
      <c r="E72" s="126"/>
      <c r="G72" s="30" t="s">
        <v>1</v>
      </c>
      <c r="H72" s="31"/>
      <c r="I72" s="32">
        <f>SUM(I66:I71)</f>
        <v>0</v>
      </c>
      <c r="J72" s="32">
        <f t="shared" ref="J72:T72" si="21">SUM(J66:J71)</f>
        <v>0</v>
      </c>
      <c r="K72" s="32">
        <f t="shared" si="21"/>
        <v>0</v>
      </c>
      <c r="L72" s="32">
        <f t="shared" si="21"/>
        <v>0</v>
      </c>
      <c r="M72" s="32">
        <f t="shared" si="21"/>
        <v>0</v>
      </c>
      <c r="N72" s="32">
        <f t="shared" si="21"/>
        <v>0</v>
      </c>
      <c r="O72" s="32">
        <f t="shared" si="21"/>
        <v>0</v>
      </c>
      <c r="P72" s="32">
        <f t="shared" si="21"/>
        <v>0</v>
      </c>
      <c r="Q72" s="32">
        <f t="shared" si="21"/>
        <v>0</v>
      </c>
      <c r="R72" s="32">
        <f t="shared" si="21"/>
        <v>0</v>
      </c>
      <c r="S72" s="32">
        <f t="shared" si="21"/>
        <v>0</v>
      </c>
      <c r="T72" s="32">
        <f t="shared" si="21"/>
        <v>0</v>
      </c>
      <c r="U72" s="33">
        <f>SUM(U66:U71)</f>
        <v>0</v>
      </c>
    </row>
    <row r="73" spans="1:25" ht="15.75" thickTop="1" x14ac:dyDescent="0.3">
      <c r="A73" s="126"/>
      <c r="B73" s="126"/>
      <c r="C73" s="126"/>
      <c r="D73" s="126"/>
      <c r="E73" s="126"/>
      <c r="G73" s="42"/>
      <c r="H73" s="37"/>
      <c r="I73" s="37"/>
      <c r="J73" s="37"/>
      <c r="K73" s="37"/>
      <c r="L73" s="37"/>
      <c r="M73" s="37"/>
      <c r="N73" s="37"/>
      <c r="O73" s="37"/>
      <c r="P73" s="37"/>
      <c r="Q73" s="37"/>
      <c r="R73" s="37"/>
      <c r="S73" s="37"/>
      <c r="T73" s="37"/>
      <c r="U73" s="43"/>
    </row>
    <row r="74" spans="1:25" ht="15.75" thickBot="1" x14ac:dyDescent="0.35">
      <c r="A74" s="126"/>
      <c r="B74" s="126"/>
      <c r="C74" s="126"/>
      <c r="D74" s="126"/>
      <c r="E74" s="126"/>
      <c r="G74" s="134" t="s">
        <v>113</v>
      </c>
      <c r="H74" s="135"/>
      <c r="I74" s="136">
        <f t="shared" ref="I74:T74" si="22">I26+I32+I41+I51+I64+I72</f>
        <v>81182.083333333343</v>
      </c>
      <c r="J74" s="136">
        <f t="shared" si="22"/>
        <v>85890.083333333343</v>
      </c>
      <c r="K74" s="136">
        <f t="shared" si="22"/>
        <v>101285.41666666667</v>
      </c>
      <c r="L74" s="136">
        <f t="shared" si="22"/>
        <v>90285.416666666672</v>
      </c>
      <c r="M74" s="136">
        <f t="shared" si="22"/>
        <v>105335.41666666667</v>
      </c>
      <c r="N74" s="136">
        <f t="shared" si="22"/>
        <v>192785.41666666669</v>
      </c>
      <c r="O74" s="136">
        <f t="shared" si="22"/>
        <v>124420.41666666667</v>
      </c>
      <c r="P74" s="136">
        <f t="shared" si="22"/>
        <v>110835.41666666667</v>
      </c>
      <c r="Q74" s="136">
        <f t="shared" si="22"/>
        <v>175470.41666666669</v>
      </c>
      <c r="R74" s="136">
        <f t="shared" si="22"/>
        <v>158244.41666666669</v>
      </c>
      <c r="S74" s="136">
        <f t="shared" si="22"/>
        <v>177835.41666666669</v>
      </c>
      <c r="T74" s="136">
        <f t="shared" si="22"/>
        <v>222935.41666666669</v>
      </c>
      <c r="U74" s="44">
        <f>SUM(I74:T74)</f>
        <v>1626505.3333333337</v>
      </c>
      <c r="V74" s="236"/>
    </row>
    <row r="75" spans="1:25" ht="15.75" thickTop="1" x14ac:dyDescent="0.3">
      <c r="A75" s="126"/>
      <c r="B75" s="126"/>
      <c r="C75" s="126"/>
      <c r="D75" s="126"/>
      <c r="E75" s="126"/>
    </row>
    <row r="76" spans="1:25" ht="15.75" thickBot="1" x14ac:dyDescent="0.35">
      <c r="A76" s="126"/>
      <c r="B76" s="126"/>
      <c r="C76" s="126"/>
      <c r="D76" s="126"/>
      <c r="E76" s="126"/>
      <c r="G76" s="134" t="s">
        <v>630</v>
      </c>
      <c r="H76" s="135"/>
      <c r="I76" s="136">
        <f t="shared" ref="I76:T76" si="23">I15-I74</f>
        <v>221213.32666666663</v>
      </c>
      <c r="J76" s="136">
        <f t="shared" si="23"/>
        <v>190199.91666666666</v>
      </c>
      <c r="K76" s="136">
        <f t="shared" si="23"/>
        <v>198714.58333333331</v>
      </c>
      <c r="L76" s="136">
        <f t="shared" si="23"/>
        <v>209714.58333333331</v>
      </c>
      <c r="M76" s="136">
        <f t="shared" si="23"/>
        <v>-105335.41666666667</v>
      </c>
      <c r="N76" s="136">
        <f t="shared" si="23"/>
        <v>-192785.41666666669</v>
      </c>
      <c r="O76" s="136">
        <f t="shared" si="23"/>
        <v>-124420.41666666667</v>
      </c>
      <c r="P76" s="136">
        <f t="shared" si="23"/>
        <v>-110835.41666666667</v>
      </c>
      <c r="Q76" s="136">
        <f t="shared" si="23"/>
        <v>-175470.41666666669</v>
      </c>
      <c r="R76" s="136">
        <f t="shared" si="23"/>
        <v>-158244.41666666669</v>
      </c>
      <c r="S76" s="136">
        <f t="shared" si="23"/>
        <v>-177835.41666666669</v>
      </c>
      <c r="T76" s="136">
        <f t="shared" si="23"/>
        <v>-222935.41666666669</v>
      </c>
      <c r="U76" s="44">
        <f>SUM(I76:T76)</f>
        <v>-448019.92333333351</v>
      </c>
      <c r="V76" s="236"/>
    </row>
    <row r="77" spans="1:25" ht="16.5" thickTop="1" thickBot="1" x14ac:dyDescent="0.35">
      <c r="A77" s="126"/>
      <c r="B77" s="126"/>
      <c r="C77" s="126"/>
      <c r="D77" s="126"/>
      <c r="E77" s="126"/>
    </row>
    <row r="78" spans="1:25" x14ac:dyDescent="0.3">
      <c r="A78" s="126"/>
      <c r="B78" s="126"/>
      <c r="C78" s="126"/>
      <c r="D78" s="126"/>
      <c r="E78" s="126"/>
      <c r="V78" s="250" t="s">
        <v>628</v>
      </c>
      <c r="W78" s="251"/>
      <c r="X78" s="251"/>
      <c r="Y78" s="252"/>
    </row>
    <row r="79" spans="1:25" ht="38.25" customHeight="1" x14ac:dyDescent="0.3">
      <c r="A79" s="126"/>
      <c r="B79" s="126"/>
      <c r="C79" s="126"/>
      <c r="D79" s="126"/>
      <c r="E79" s="126"/>
      <c r="V79" s="253"/>
      <c r="W79" s="254"/>
      <c r="X79" s="254"/>
      <c r="Y79" s="255"/>
    </row>
    <row r="80" spans="1:25" ht="15.75" thickBot="1" x14ac:dyDescent="0.35">
      <c r="A80" s="126"/>
      <c r="B80" s="126"/>
      <c r="C80" s="126"/>
      <c r="D80" s="126"/>
      <c r="E80" s="126"/>
      <c r="V80" s="256"/>
      <c r="W80" s="257"/>
      <c r="X80" s="257"/>
      <c r="Y80" s="258"/>
    </row>
    <row r="81" spans="1:21" x14ac:dyDescent="0.3">
      <c r="A81" s="126"/>
      <c r="B81" s="126"/>
      <c r="C81" s="126"/>
      <c r="D81" s="126"/>
      <c r="E81" s="126"/>
    </row>
    <row r="82" spans="1:21" x14ac:dyDescent="0.3">
      <c r="A82" s="126"/>
      <c r="B82" s="126"/>
      <c r="C82" s="126"/>
      <c r="D82" s="126"/>
      <c r="E82" s="126"/>
    </row>
    <row r="83" spans="1:21" hidden="1" x14ac:dyDescent="0.3">
      <c r="A83" s="126"/>
      <c r="B83" s="126"/>
      <c r="C83" s="126"/>
      <c r="D83" s="126"/>
      <c r="E83" s="126"/>
    </row>
    <row r="84" spans="1:21" hidden="1" x14ac:dyDescent="0.3">
      <c r="A84" s="126"/>
      <c r="B84" s="126"/>
      <c r="C84" s="126"/>
      <c r="D84" s="126"/>
      <c r="E84" s="126"/>
    </row>
    <row r="85" spans="1:21" hidden="1" x14ac:dyDescent="0.3">
      <c r="A85" s="126"/>
      <c r="B85" s="126"/>
      <c r="C85" s="126"/>
      <c r="D85" s="126"/>
      <c r="E85" s="126"/>
    </row>
    <row r="86" spans="1:21" hidden="1" x14ac:dyDescent="0.3">
      <c r="A86" s="126"/>
      <c r="B86" s="126"/>
      <c r="C86" s="126"/>
      <c r="D86" s="126"/>
      <c r="E86" s="126"/>
      <c r="F86" s="143"/>
      <c r="G86" s="139" t="s">
        <v>50</v>
      </c>
      <c r="H86" s="140"/>
      <c r="I86" s="141">
        <v>43831</v>
      </c>
      <c r="J86" s="141">
        <v>43862</v>
      </c>
      <c r="K86" s="141">
        <v>43891</v>
      </c>
      <c r="L86" s="141">
        <v>43922</v>
      </c>
      <c r="M86" s="141">
        <v>43952</v>
      </c>
      <c r="N86" s="141">
        <v>43983</v>
      </c>
      <c r="O86" s="141">
        <v>44013</v>
      </c>
      <c r="P86" s="141">
        <v>44044</v>
      </c>
      <c r="Q86" s="141">
        <v>44075</v>
      </c>
      <c r="R86" s="141">
        <v>44105</v>
      </c>
      <c r="S86" s="141">
        <v>44136</v>
      </c>
      <c r="T86" s="142">
        <v>44166</v>
      </c>
      <c r="U86" s="144" t="s">
        <v>1</v>
      </c>
    </row>
    <row r="87" spans="1:21" hidden="1" x14ac:dyDescent="0.3">
      <c r="A87" s="126"/>
      <c r="B87" s="126"/>
      <c r="C87" s="126"/>
      <c r="D87" s="126"/>
      <c r="E87" s="126"/>
      <c r="F87" s="122"/>
      <c r="G87" s="123"/>
      <c r="H87" s="124"/>
      <c r="I87" s="125"/>
      <c r="J87" s="125"/>
      <c r="K87" s="125"/>
      <c r="L87" s="125"/>
      <c r="M87" s="125"/>
      <c r="N87" s="125"/>
      <c r="O87" s="125"/>
      <c r="P87" s="125"/>
      <c r="Q87" s="125"/>
      <c r="R87" s="125"/>
      <c r="S87" s="125"/>
      <c r="T87" s="125"/>
      <c r="U87" s="132"/>
    </row>
    <row r="88" spans="1:21" hidden="1" x14ac:dyDescent="0.3">
      <c r="A88" s="126"/>
      <c r="B88" s="126"/>
      <c r="C88" s="126"/>
      <c r="D88" s="126"/>
      <c r="E88" s="126"/>
      <c r="F88" s="122"/>
      <c r="G88" s="26" t="s">
        <v>114</v>
      </c>
      <c r="H88" s="124"/>
      <c r="I88" s="125"/>
      <c r="J88" s="125"/>
      <c r="K88" s="125"/>
      <c r="L88" s="125"/>
      <c r="M88" s="125"/>
      <c r="N88" s="125"/>
      <c r="O88" s="125"/>
      <c r="P88" s="125"/>
      <c r="Q88" s="125"/>
      <c r="R88" s="125"/>
      <c r="S88" s="125"/>
      <c r="T88" s="125"/>
      <c r="U88" s="132"/>
    </row>
    <row r="89" spans="1:21" hidden="1" x14ac:dyDescent="0.3">
      <c r="A89" s="126"/>
      <c r="B89" s="126"/>
      <c r="C89" s="126"/>
      <c r="D89" s="126"/>
      <c r="E89" s="126"/>
      <c r="F89" s="126"/>
      <c r="G89" s="133" t="s">
        <v>101</v>
      </c>
      <c r="H89" s="127"/>
      <c r="I89" s="128"/>
      <c r="J89" s="128"/>
      <c r="K89" s="128"/>
      <c r="L89" s="128"/>
      <c r="M89" s="128"/>
      <c r="N89" s="128"/>
      <c r="O89" s="128"/>
      <c r="P89" s="128"/>
      <c r="Q89" s="128"/>
      <c r="R89" s="128"/>
      <c r="S89" s="128"/>
      <c r="T89" s="128"/>
      <c r="U89" s="132"/>
    </row>
    <row r="90" spans="1:21" hidden="1" x14ac:dyDescent="0.3">
      <c r="A90" s="126"/>
      <c r="B90" s="126"/>
      <c r="C90" s="126"/>
      <c r="D90" s="126"/>
      <c r="E90" s="126"/>
      <c r="F90" s="126"/>
      <c r="G90" s="133" t="s">
        <v>53</v>
      </c>
      <c r="H90" s="127"/>
      <c r="I90" s="128"/>
      <c r="J90" s="128"/>
      <c r="K90" s="128"/>
      <c r="L90" s="128"/>
      <c r="M90" s="128"/>
      <c r="N90" s="128"/>
      <c r="O90" s="128"/>
      <c r="P90" s="128"/>
      <c r="Q90" s="128"/>
      <c r="R90" s="128"/>
      <c r="S90" s="128"/>
      <c r="T90" s="128"/>
      <c r="U90" s="132"/>
    </row>
    <row r="91" spans="1:21" hidden="1" x14ac:dyDescent="0.3">
      <c r="A91" s="126"/>
      <c r="B91" s="126"/>
      <c r="C91" s="126"/>
      <c r="D91" s="126"/>
      <c r="E91" s="126"/>
      <c r="F91" s="126"/>
      <c r="G91" s="133" t="s">
        <v>115</v>
      </c>
      <c r="H91" s="127"/>
      <c r="I91" s="128"/>
      <c r="J91" s="128"/>
      <c r="K91" s="128"/>
      <c r="L91" s="128"/>
      <c r="M91" s="128"/>
      <c r="N91" s="128"/>
      <c r="O91" s="128"/>
      <c r="P91" s="128"/>
      <c r="Q91" s="128"/>
      <c r="R91" s="128"/>
      <c r="S91" s="128"/>
      <c r="T91" s="128"/>
      <c r="U91" s="132"/>
    </row>
    <row r="92" spans="1:21" hidden="1" x14ac:dyDescent="0.3">
      <c r="A92" s="126"/>
      <c r="B92" s="126"/>
      <c r="C92" s="126"/>
      <c r="D92" s="126"/>
      <c r="E92" s="126"/>
      <c r="F92" s="129"/>
      <c r="G92" s="133" t="s">
        <v>102</v>
      </c>
      <c r="H92" s="131"/>
      <c r="I92" s="131"/>
      <c r="J92" s="131"/>
      <c r="K92" s="131"/>
      <c r="L92" s="131"/>
      <c r="M92" s="131"/>
      <c r="N92" s="131"/>
      <c r="O92" s="131"/>
      <c r="P92" s="131"/>
      <c r="Q92" s="131"/>
      <c r="R92" s="131"/>
      <c r="S92" s="131"/>
      <c r="T92" s="131"/>
      <c r="U92" s="132"/>
    </row>
    <row r="93" spans="1:21" hidden="1" x14ac:dyDescent="0.3">
      <c r="A93" s="126"/>
      <c r="B93" s="126"/>
      <c r="C93" s="126"/>
      <c r="D93" s="126"/>
      <c r="E93" s="126"/>
      <c r="F93" s="129"/>
      <c r="G93" s="133" t="s">
        <v>116</v>
      </c>
      <c r="H93" s="131"/>
      <c r="I93" s="131"/>
      <c r="J93" s="131"/>
      <c r="K93" s="131"/>
      <c r="L93" s="131"/>
      <c r="M93" s="131"/>
      <c r="N93" s="131"/>
      <c r="O93" s="131"/>
      <c r="P93" s="131"/>
      <c r="Q93" s="131"/>
      <c r="R93" s="131"/>
      <c r="S93" s="131"/>
      <c r="T93" s="131"/>
      <c r="U93" s="132"/>
    </row>
    <row r="94" spans="1:21" ht="15.75" hidden="1" thickBot="1" x14ac:dyDescent="0.35">
      <c r="A94" s="126"/>
      <c r="B94" s="126"/>
      <c r="C94" s="126"/>
      <c r="D94" s="126"/>
      <c r="E94" s="126"/>
      <c r="F94" s="129"/>
      <c r="G94" s="30" t="s">
        <v>1</v>
      </c>
      <c r="H94" s="31"/>
      <c r="I94" s="32">
        <f t="shared" ref="I94:U94" si="24">SUM(I89:I93)</f>
        <v>0</v>
      </c>
      <c r="J94" s="32">
        <f t="shared" si="24"/>
        <v>0</v>
      </c>
      <c r="K94" s="32">
        <f t="shared" si="24"/>
        <v>0</v>
      </c>
      <c r="L94" s="32">
        <f t="shared" si="24"/>
        <v>0</v>
      </c>
      <c r="M94" s="32">
        <f t="shared" si="24"/>
        <v>0</v>
      </c>
      <c r="N94" s="32">
        <f t="shared" si="24"/>
        <v>0</v>
      </c>
      <c r="O94" s="32">
        <f t="shared" si="24"/>
        <v>0</v>
      </c>
      <c r="P94" s="32">
        <f t="shared" si="24"/>
        <v>0</v>
      </c>
      <c r="Q94" s="32">
        <f t="shared" si="24"/>
        <v>0</v>
      </c>
      <c r="R94" s="32">
        <f t="shared" si="24"/>
        <v>0</v>
      </c>
      <c r="S94" s="32">
        <f t="shared" si="24"/>
        <v>0</v>
      </c>
      <c r="T94" s="32">
        <f t="shared" si="24"/>
        <v>0</v>
      </c>
      <c r="U94" s="33">
        <f t="shared" si="24"/>
        <v>0</v>
      </c>
    </row>
    <row r="95" spans="1:21" hidden="1" x14ac:dyDescent="0.3">
      <c r="A95" s="126"/>
      <c r="B95" s="126"/>
      <c r="C95" s="126"/>
      <c r="D95" s="126"/>
      <c r="E95" s="126"/>
      <c r="F95" s="129"/>
      <c r="G95" s="130"/>
      <c r="H95" s="131"/>
      <c r="I95" s="131"/>
      <c r="J95" s="131"/>
      <c r="K95" s="131"/>
      <c r="L95" s="131"/>
      <c r="M95" s="131"/>
      <c r="N95" s="131"/>
      <c r="O95" s="131"/>
      <c r="P95" s="131"/>
      <c r="Q95" s="131"/>
      <c r="R95" s="131"/>
      <c r="S95" s="131"/>
      <c r="T95" s="131"/>
      <c r="U95" s="132"/>
    </row>
    <row r="96" spans="1:21" hidden="1" x14ac:dyDescent="0.3">
      <c r="A96" s="126"/>
      <c r="B96" s="126"/>
      <c r="C96" s="126"/>
      <c r="D96" s="126"/>
      <c r="E96" s="126"/>
      <c r="G96" s="26" t="s">
        <v>36</v>
      </c>
      <c r="H96" s="24"/>
      <c r="I96" s="24"/>
      <c r="J96" s="24"/>
      <c r="K96" s="24"/>
      <c r="L96" s="24"/>
      <c r="M96" s="24"/>
      <c r="N96" s="24"/>
      <c r="O96" s="24"/>
      <c r="P96" s="24"/>
      <c r="Q96" s="24"/>
      <c r="R96" s="24"/>
      <c r="S96" s="24"/>
      <c r="T96" s="24"/>
      <c r="U96" s="25"/>
    </row>
    <row r="97" spans="1:21" hidden="1" x14ac:dyDescent="0.3">
      <c r="A97" s="126"/>
      <c r="B97" s="126"/>
      <c r="C97" s="126"/>
      <c r="D97" s="126"/>
      <c r="E97" s="126"/>
      <c r="G97" s="27" t="s">
        <v>37</v>
      </c>
      <c r="H97" s="24"/>
      <c r="I97" s="28">
        <f>200000/12</f>
        <v>16666.666666666668</v>
      </c>
      <c r="J97" s="28">
        <f t="shared" ref="J97:T97" si="25">200000/12</f>
        <v>16666.666666666668</v>
      </c>
      <c r="K97" s="28">
        <f t="shared" si="25"/>
        <v>16666.666666666668</v>
      </c>
      <c r="L97" s="28">
        <f t="shared" si="25"/>
        <v>16666.666666666668</v>
      </c>
      <c r="M97" s="28">
        <f t="shared" si="25"/>
        <v>16666.666666666668</v>
      </c>
      <c r="N97" s="28">
        <f t="shared" si="25"/>
        <v>16666.666666666668</v>
      </c>
      <c r="O97" s="28">
        <f t="shared" si="25"/>
        <v>16666.666666666668</v>
      </c>
      <c r="P97" s="28">
        <f t="shared" si="25"/>
        <v>16666.666666666668</v>
      </c>
      <c r="Q97" s="28">
        <f t="shared" si="25"/>
        <v>16666.666666666668</v>
      </c>
      <c r="R97" s="28">
        <f t="shared" si="25"/>
        <v>16666.666666666668</v>
      </c>
      <c r="S97" s="28">
        <f t="shared" si="25"/>
        <v>16666.666666666668</v>
      </c>
      <c r="T97" s="28">
        <f t="shared" si="25"/>
        <v>16666.666666666668</v>
      </c>
      <c r="U97" s="29">
        <f>SUM(I97:T97)</f>
        <v>199999.99999999997</v>
      </c>
    </row>
    <row r="98" spans="1:21" hidden="1" x14ac:dyDescent="0.3">
      <c r="A98" s="126"/>
      <c r="B98" s="126"/>
      <c r="C98" s="126"/>
      <c r="D98" s="126"/>
      <c r="E98" s="126"/>
      <c r="G98" s="27" t="s">
        <v>39</v>
      </c>
      <c r="H98" s="24"/>
      <c r="I98" s="28">
        <f>10000</f>
        <v>10000</v>
      </c>
      <c r="J98" s="28">
        <f>10000</f>
        <v>10000</v>
      </c>
      <c r="K98" s="28">
        <f>10000</f>
        <v>10000</v>
      </c>
      <c r="L98" s="28">
        <f>10000</f>
        <v>10000</v>
      </c>
      <c r="M98" s="28">
        <f>10000</f>
        <v>10000</v>
      </c>
      <c r="N98" s="28">
        <f>10000</f>
        <v>10000</v>
      </c>
      <c r="O98" s="28">
        <f>10000</f>
        <v>10000</v>
      </c>
      <c r="P98" s="28">
        <f>10000</f>
        <v>10000</v>
      </c>
      <c r="Q98" s="28">
        <f>10000</f>
        <v>10000</v>
      </c>
      <c r="R98" s="28">
        <f>10000</f>
        <v>10000</v>
      </c>
      <c r="S98" s="28">
        <f>10000</f>
        <v>10000</v>
      </c>
      <c r="T98" s="28">
        <f>10000</f>
        <v>10000</v>
      </c>
      <c r="U98" s="29">
        <f>SUM(I98:T98)</f>
        <v>120000</v>
      </c>
    </row>
    <row r="99" spans="1:21" hidden="1" x14ac:dyDescent="0.3">
      <c r="A99" s="126"/>
      <c r="B99" s="126"/>
      <c r="C99" s="126"/>
      <c r="D99" s="126"/>
      <c r="E99" s="126"/>
      <c r="G99" s="27" t="s">
        <v>38</v>
      </c>
      <c r="H99" s="24"/>
      <c r="I99" s="28">
        <f>20*65*4</f>
        <v>5200</v>
      </c>
      <c r="J99" s="28">
        <f t="shared" ref="J99:T99" si="26">20*65*4</f>
        <v>5200</v>
      </c>
      <c r="K99" s="28">
        <f t="shared" si="26"/>
        <v>5200</v>
      </c>
      <c r="L99" s="28">
        <f t="shared" si="26"/>
        <v>5200</v>
      </c>
      <c r="M99" s="28">
        <f t="shared" si="26"/>
        <v>5200</v>
      </c>
      <c r="N99" s="28">
        <f t="shared" si="26"/>
        <v>5200</v>
      </c>
      <c r="O99" s="28">
        <f t="shared" si="26"/>
        <v>5200</v>
      </c>
      <c r="P99" s="28">
        <f t="shared" si="26"/>
        <v>5200</v>
      </c>
      <c r="Q99" s="28">
        <f t="shared" si="26"/>
        <v>5200</v>
      </c>
      <c r="R99" s="28">
        <f t="shared" si="26"/>
        <v>5200</v>
      </c>
      <c r="S99" s="28">
        <f t="shared" si="26"/>
        <v>5200</v>
      </c>
      <c r="T99" s="28">
        <f t="shared" si="26"/>
        <v>5200</v>
      </c>
      <c r="U99" s="29">
        <f>SUM(I99:T99)</f>
        <v>62400</v>
      </c>
    </row>
    <row r="100" spans="1:21" hidden="1" x14ac:dyDescent="0.3">
      <c r="A100" s="126"/>
      <c r="B100" s="126"/>
      <c r="C100" s="126"/>
      <c r="D100" s="126"/>
      <c r="E100" s="126"/>
      <c r="G100" s="27" t="s">
        <v>59</v>
      </c>
      <c r="H100" s="24"/>
      <c r="I100" s="28"/>
      <c r="J100" s="28"/>
      <c r="K100" s="28"/>
      <c r="L100" s="28"/>
      <c r="M100" s="28"/>
      <c r="N100" s="28"/>
      <c r="O100" s="28"/>
      <c r="P100" s="28"/>
      <c r="Q100" s="28"/>
      <c r="R100" s="28"/>
      <c r="S100" s="28"/>
      <c r="T100" s="28"/>
      <c r="U100" s="29">
        <f>SUM(I100:T100)</f>
        <v>0</v>
      </c>
    </row>
    <row r="101" spans="1:21" ht="15.75" hidden="1" thickBot="1" x14ac:dyDescent="0.35">
      <c r="A101" s="126"/>
      <c r="B101" s="126"/>
      <c r="C101" s="126"/>
      <c r="D101" s="126"/>
      <c r="E101" s="126"/>
      <c r="G101" s="30" t="s">
        <v>1</v>
      </c>
      <c r="H101" s="31"/>
      <c r="I101" s="32">
        <f>SUM(I97:I100)</f>
        <v>31866.666666666668</v>
      </c>
      <c r="J101" s="32">
        <f t="shared" ref="J101:U101" si="27">SUM(J97:J100)</f>
        <v>31866.666666666668</v>
      </c>
      <c r="K101" s="32">
        <f t="shared" si="27"/>
        <v>31866.666666666668</v>
      </c>
      <c r="L101" s="32">
        <f t="shared" si="27"/>
        <v>31866.666666666668</v>
      </c>
      <c r="M101" s="32">
        <f t="shared" si="27"/>
        <v>31866.666666666668</v>
      </c>
      <c r="N101" s="32">
        <f t="shared" si="27"/>
        <v>31866.666666666668</v>
      </c>
      <c r="O101" s="32">
        <f t="shared" si="27"/>
        <v>31866.666666666668</v>
      </c>
      <c r="P101" s="32">
        <f t="shared" si="27"/>
        <v>31866.666666666668</v>
      </c>
      <c r="Q101" s="32">
        <f t="shared" si="27"/>
        <v>31866.666666666668</v>
      </c>
      <c r="R101" s="32">
        <f t="shared" si="27"/>
        <v>31866.666666666668</v>
      </c>
      <c r="S101" s="32">
        <f t="shared" si="27"/>
        <v>31866.666666666668</v>
      </c>
      <c r="T101" s="32">
        <f t="shared" si="27"/>
        <v>31866.666666666668</v>
      </c>
      <c r="U101" s="33">
        <f t="shared" si="27"/>
        <v>382400</v>
      </c>
    </row>
    <row r="102" spans="1:21" hidden="1" x14ac:dyDescent="0.3">
      <c r="A102" s="126"/>
      <c r="B102" s="126"/>
      <c r="C102" s="126"/>
      <c r="D102" s="126"/>
      <c r="E102" s="126"/>
      <c r="G102" s="26" t="s">
        <v>31</v>
      </c>
      <c r="H102" s="24"/>
      <c r="I102" s="24"/>
      <c r="J102" s="24"/>
      <c r="K102" s="24"/>
      <c r="L102" s="24"/>
      <c r="M102" s="24"/>
      <c r="N102" s="24"/>
      <c r="O102" s="24"/>
      <c r="P102" s="24"/>
      <c r="Q102" s="24"/>
      <c r="R102" s="24"/>
      <c r="S102" s="24"/>
      <c r="T102" s="24"/>
      <c r="U102" s="34"/>
    </row>
    <row r="103" spans="1:21" hidden="1" x14ac:dyDescent="0.3">
      <c r="A103" s="126"/>
      <c r="B103" s="126"/>
      <c r="C103" s="126"/>
      <c r="D103" s="126"/>
      <c r="E103" s="126"/>
      <c r="G103" s="27" t="s">
        <v>40</v>
      </c>
      <c r="H103" s="24"/>
      <c r="I103" s="28"/>
      <c r="J103" s="28"/>
      <c r="K103" s="28">
        <v>300</v>
      </c>
      <c r="L103" s="28"/>
      <c r="M103" s="28"/>
      <c r="N103" s="28">
        <v>300</v>
      </c>
      <c r="O103" s="28"/>
      <c r="P103" s="28">
        <v>10000</v>
      </c>
      <c r="Q103" s="28">
        <v>300</v>
      </c>
      <c r="R103" s="28"/>
      <c r="S103" s="28"/>
      <c r="T103" s="28">
        <v>300</v>
      </c>
      <c r="U103" s="29">
        <f>SUM(I103:T103)</f>
        <v>11200</v>
      </c>
    </row>
    <row r="104" spans="1:21" hidden="1" x14ac:dyDescent="0.3">
      <c r="A104" s="126"/>
      <c r="B104" s="126"/>
      <c r="C104" s="126"/>
      <c r="D104" s="126"/>
      <c r="E104" s="126"/>
      <c r="G104" s="27" t="s">
        <v>48</v>
      </c>
      <c r="H104" s="24"/>
      <c r="I104" s="28"/>
      <c r="J104" s="28"/>
      <c r="K104" s="28"/>
      <c r="L104" s="28"/>
      <c r="M104" s="28"/>
      <c r="N104" s="28"/>
      <c r="O104" s="28"/>
      <c r="P104" s="28"/>
      <c r="Q104" s="28"/>
      <c r="R104" s="28"/>
      <c r="S104" s="28"/>
      <c r="T104" s="28">
        <v>2000</v>
      </c>
      <c r="U104" s="29">
        <f>SUM(I104:T104)</f>
        <v>2000</v>
      </c>
    </row>
    <row r="105" spans="1:21" hidden="1" x14ac:dyDescent="0.3">
      <c r="A105" s="126"/>
      <c r="B105" s="126"/>
      <c r="C105" s="126"/>
      <c r="D105" s="126"/>
      <c r="E105" s="126"/>
      <c r="G105" s="27" t="s">
        <v>49</v>
      </c>
      <c r="H105" s="24"/>
      <c r="I105" s="28"/>
      <c r="J105" s="28"/>
      <c r="K105" s="28"/>
      <c r="L105" s="28"/>
      <c r="M105" s="28"/>
      <c r="N105" s="28"/>
      <c r="O105" s="28"/>
      <c r="P105" s="28"/>
      <c r="Q105" s="28"/>
      <c r="R105" s="28"/>
      <c r="S105" s="28"/>
      <c r="T105" s="28"/>
      <c r="U105" s="29">
        <f>SUM(I105:T105)</f>
        <v>0</v>
      </c>
    </row>
    <row r="106" spans="1:21" hidden="1" x14ac:dyDescent="0.3">
      <c r="A106" s="126"/>
      <c r="B106" s="126"/>
      <c r="C106" s="126"/>
      <c r="D106" s="126"/>
      <c r="E106" s="126"/>
      <c r="F106" s="35">
        <v>0.1</v>
      </c>
      <c r="G106" s="36" t="str">
        <f>"Contigency"&amp;" "&amp;"at"&amp;" "&amp;(F106*100)&amp;"%"</f>
        <v>Contigency at 10%</v>
      </c>
      <c r="H106" s="37"/>
      <c r="I106" s="38">
        <f>SUM(I103:I105)*$F$31</f>
        <v>0</v>
      </c>
      <c r="J106" s="38">
        <f>SUM(J103:J105)*$F$31</f>
        <v>0</v>
      </c>
      <c r="K106" s="38">
        <f t="shared" ref="K106:T106" si="28">SUM(K103:K105)*$F$31</f>
        <v>30</v>
      </c>
      <c r="L106" s="38">
        <f t="shared" si="28"/>
        <v>0</v>
      </c>
      <c r="M106" s="38">
        <f t="shared" si="28"/>
        <v>0</v>
      </c>
      <c r="N106" s="38">
        <f t="shared" si="28"/>
        <v>30</v>
      </c>
      <c r="O106" s="38">
        <f t="shared" si="28"/>
        <v>0</v>
      </c>
      <c r="P106" s="38">
        <f t="shared" si="28"/>
        <v>1000</v>
      </c>
      <c r="Q106" s="38">
        <f t="shared" si="28"/>
        <v>30</v>
      </c>
      <c r="R106" s="38">
        <f t="shared" si="28"/>
        <v>0</v>
      </c>
      <c r="S106" s="38">
        <f t="shared" si="28"/>
        <v>0</v>
      </c>
      <c r="T106" s="38">
        <f t="shared" si="28"/>
        <v>230</v>
      </c>
      <c r="U106" s="39">
        <f>SUM(I106:T106)</f>
        <v>1320</v>
      </c>
    </row>
    <row r="107" spans="1:21" ht="15.75" hidden="1" thickBot="1" x14ac:dyDescent="0.35">
      <c r="A107" s="126"/>
      <c r="B107" s="126"/>
      <c r="C107" s="126"/>
      <c r="D107" s="126"/>
      <c r="E107" s="126"/>
      <c r="G107" s="30" t="s">
        <v>1</v>
      </c>
      <c r="H107" s="31"/>
      <c r="I107" s="32">
        <f>SUM(I103:I106)</f>
        <v>0</v>
      </c>
      <c r="J107" s="32">
        <f t="shared" ref="J107:U107" si="29">SUM(J103:J106)</f>
        <v>0</v>
      </c>
      <c r="K107" s="32">
        <f t="shared" si="29"/>
        <v>330</v>
      </c>
      <c r="L107" s="32">
        <f t="shared" si="29"/>
        <v>0</v>
      </c>
      <c r="M107" s="32">
        <f t="shared" si="29"/>
        <v>0</v>
      </c>
      <c r="N107" s="32">
        <f t="shared" si="29"/>
        <v>330</v>
      </c>
      <c r="O107" s="32">
        <f t="shared" si="29"/>
        <v>0</v>
      </c>
      <c r="P107" s="32">
        <f t="shared" si="29"/>
        <v>11000</v>
      </c>
      <c r="Q107" s="32">
        <f t="shared" si="29"/>
        <v>330</v>
      </c>
      <c r="R107" s="32">
        <f t="shared" si="29"/>
        <v>0</v>
      </c>
      <c r="S107" s="32">
        <f t="shared" si="29"/>
        <v>0</v>
      </c>
      <c r="T107" s="32">
        <f t="shared" si="29"/>
        <v>2530</v>
      </c>
      <c r="U107" s="33">
        <f t="shared" si="29"/>
        <v>14520</v>
      </c>
    </row>
    <row r="108" spans="1:21" hidden="1" x14ac:dyDescent="0.3">
      <c r="A108" s="126"/>
      <c r="B108" s="126"/>
      <c r="C108" s="126"/>
      <c r="D108" s="126"/>
      <c r="E108" s="126"/>
      <c r="G108" s="26" t="s">
        <v>57</v>
      </c>
      <c r="H108" s="24"/>
      <c r="I108" s="24"/>
      <c r="J108" s="24"/>
      <c r="K108" s="24"/>
      <c r="L108" s="24"/>
      <c r="M108" s="24"/>
      <c r="N108" s="24"/>
      <c r="O108" s="24"/>
      <c r="P108" s="24"/>
      <c r="Q108" s="24"/>
      <c r="R108" s="24"/>
      <c r="S108" s="24"/>
      <c r="T108" s="24"/>
      <c r="U108" s="34"/>
    </row>
    <row r="109" spans="1:21" hidden="1" x14ac:dyDescent="0.3">
      <c r="A109" s="126"/>
      <c r="B109" s="126"/>
      <c r="C109" s="126"/>
      <c r="D109" s="126"/>
      <c r="E109" s="126"/>
      <c r="G109" s="27" t="s">
        <v>41</v>
      </c>
      <c r="H109" s="24"/>
      <c r="I109" s="28">
        <v>100</v>
      </c>
      <c r="J109" s="28">
        <v>100</v>
      </c>
      <c r="K109" s="28">
        <v>100</v>
      </c>
      <c r="L109" s="28">
        <v>100</v>
      </c>
      <c r="M109" s="28">
        <v>100</v>
      </c>
      <c r="N109" s="28">
        <v>100</v>
      </c>
      <c r="O109" s="28">
        <v>100</v>
      </c>
      <c r="P109" s="28">
        <v>100</v>
      </c>
      <c r="Q109" s="28">
        <v>100</v>
      </c>
      <c r="R109" s="28">
        <v>100</v>
      </c>
      <c r="S109" s="28">
        <v>100</v>
      </c>
      <c r="T109" s="28">
        <v>100</v>
      </c>
      <c r="U109" s="29">
        <f>SUM(I109:T109)</f>
        <v>1200</v>
      </c>
    </row>
    <row r="110" spans="1:21" hidden="1" x14ac:dyDescent="0.3">
      <c r="A110" s="126"/>
      <c r="B110" s="126"/>
      <c r="C110" s="126"/>
      <c r="D110" s="126"/>
      <c r="E110" s="126"/>
      <c r="G110" s="27" t="s">
        <v>202</v>
      </c>
      <c r="H110" s="24"/>
      <c r="I110" s="28">
        <v>2000</v>
      </c>
      <c r="J110" s="28">
        <v>2000</v>
      </c>
      <c r="K110" s="28">
        <v>2000</v>
      </c>
      <c r="L110" s="28">
        <v>2000</v>
      </c>
      <c r="M110" s="28">
        <v>2000</v>
      </c>
      <c r="N110" s="28">
        <v>2000</v>
      </c>
      <c r="O110" s="28">
        <v>2000</v>
      </c>
      <c r="P110" s="28">
        <v>2000</v>
      </c>
      <c r="Q110" s="28">
        <v>2000</v>
      </c>
      <c r="R110" s="28">
        <v>2000</v>
      </c>
      <c r="S110" s="28">
        <v>2000</v>
      </c>
      <c r="T110" s="28">
        <v>2000</v>
      </c>
      <c r="U110" s="29">
        <f t="shared" ref="U110:U115" si="30">SUM(I110:T110)</f>
        <v>24000</v>
      </c>
    </row>
    <row r="111" spans="1:21" hidden="1" x14ac:dyDescent="0.3">
      <c r="A111" s="126"/>
      <c r="B111" s="126"/>
      <c r="C111" s="126"/>
      <c r="D111" s="126"/>
      <c r="E111" s="126"/>
      <c r="G111" s="27" t="s">
        <v>201</v>
      </c>
      <c r="H111" s="24"/>
      <c r="I111" s="28">
        <v>75</v>
      </c>
      <c r="J111" s="28">
        <v>75</v>
      </c>
      <c r="K111" s="28">
        <v>75</v>
      </c>
      <c r="L111" s="28">
        <v>75</v>
      </c>
      <c r="M111" s="28">
        <v>75</v>
      </c>
      <c r="N111" s="28">
        <v>75</v>
      </c>
      <c r="O111" s="28">
        <v>75</v>
      </c>
      <c r="P111" s="28">
        <v>75</v>
      </c>
      <c r="Q111" s="28">
        <v>75</v>
      </c>
      <c r="R111" s="28">
        <v>75</v>
      </c>
      <c r="S111" s="28">
        <v>75</v>
      </c>
      <c r="T111" s="28">
        <v>75</v>
      </c>
      <c r="U111" s="29">
        <f t="shared" si="30"/>
        <v>900</v>
      </c>
    </row>
    <row r="112" spans="1:21" hidden="1" x14ac:dyDescent="0.3">
      <c r="A112" s="126"/>
      <c r="B112" s="126"/>
      <c r="C112" s="126"/>
      <c r="D112" s="126"/>
      <c r="E112" s="126"/>
      <c r="G112" s="27" t="s">
        <v>203</v>
      </c>
      <c r="H112" s="24"/>
      <c r="I112" s="28">
        <v>250</v>
      </c>
      <c r="J112" s="28">
        <v>250</v>
      </c>
      <c r="K112" s="28">
        <v>250</v>
      </c>
      <c r="L112" s="28">
        <v>250</v>
      </c>
      <c r="M112" s="28">
        <v>250</v>
      </c>
      <c r="N112" s="28">
        <v>250</v>
      </c>
      <c r="O112" s="28">
        <v>250</v>
      </c>
      <c r="P112" s="28">
        <v>250</v>
      </c>
      <c r="Q112" s="28">
        <v>250</v>
      </c>
      <c r="R112" s="28">
        <v>250</v>
      </c>
      <c r="S112" s="28">
        <v>250</v>
      </c>
      <c r="T112" s="28">
        <v>250</v>
      </c>
      <c r="U112" s="29">
        <f t="shared" si="30"/>
        <v>3000</v>
      </c>
    </row>
    <row r="113" spans="1:21" hidden="1" x14ac:dyDescent="0.3">
      <c r="A113" s="126"/>
      <c r="B113" s="126"/>
      <c r="C113" s="126"/>
      <c r="D113" s="126"/>
      <c r="E113" s="126"/>
      <c r="G113" s="27" t="s">
        <v>45</v>
      </c>
      <c r="H113" s="24"/>
      <c r="I113" s="28">
        <v>200</v>
      </c>
      <c r="J113" s="28">
        <v>200</v>
      </c>
      <c r="K113" s="28">
        <v>200</v>
      </c>
      <c r="L113" s="28">
        <v>200</v>
      </c>
      <c r="M113" s="28">
        <v>200</v>
      </c>
      <c r="N113" s="28">
        <v>200</v>
      </c>
      <c r="O113" s="28">
        <v>200</v>
      </c>
      <c r="P113" s="28">
        <v>200</v>
      </c>
      <c r="Q113" s="28">
        <v>200</v>
      </c>
      <c r="R113" s="28">
        <v>200</v>
      </c>
      <c r="S113" s="28">
        <v>200</v>
      </c>
      <c r="T113" s="28">
        <v>200</v>
      </c>
      <c r="U113" s="29">
        <f t="shared" si="30"/>
        <v>2400</v>
      </c>
    </row>
    <row r="114" spans="1:21" hidden="1" x14ac:dyDescent="0.3">
      <c r="A114" s="126"/>
      <c r="B114" s="126"/>
      <c r="C114" s="126"/>
      <c r="D114" s="126"/>
      <c r="E114" s="126"/>
      <c r="G114" s="27" t="s">
        <v>46</v>
      </c>
      <c r="H114" s="24"/>
      <c r="I114" s="28">
        <v>100</v>
      </c>
      <c r="J114" s="28">
        <v>100</v>
      </c>
      <c r="K114" s="28">
        <v>100</v>
      </c>
      <c r="L114" s="28">
        <v>100</v>
      </c>
      <c r="M114" s="28">
        <v>100</v>
      </c>
      <c r="N114" s="28">
        <v>100</v>
      </c>
      <c r="O114" s="28">
        <v>100</v>
      </c>
      <c r="P114" s="28">
        <v>100</v>
      </c>
      <c r="Q114" s="28">
        <v>100</v>
      </c>
      <c r="R114" s="28">
        <v>100</v>
      </c>
      <c r="S114" s="28">
        <v>100</v>
      </c>
      <c r="T114" s="28">
        <v>100</v>
      </c>
      <c r="U114" s="29">
        <f t="shared" si="30"/>
        <v>1200</v>
      </c>
    </row>
    <row r="115" spans="1:21" hidden="1" x14ac:dyDescent="0.3">
      <c r="A115" s="126"/>
      <c r="B115" s="126"/>
      <c r="C115" s="126"/>
      <c r="D115" s="126"/>
      <c r="E115" s="126"/>
      <c r="F115" s="35">
        <v>0.25</v>
      </c>
      <c r="G115" s="36" t="str">
        <f>"Contigency"&amp;" "&amp;"at"&amp;" "&amp;(F115*100)&amp;"%"</f>
        <v>Contigency at 25%</v>
      </c>
      <c r="H115" s="37"/>
      <c r="I115" s="38">
        <f>SUM(I109:I114)*$F$40</f>
        <v>681.25</v>
      </c>
      <c r="J115" s="38">
        <f>SUM(J109:J114)*$F$40</f>
        <v>681.25</v>
      </c>
      <c r="K115" s="38">
        <f t="shared" ref="K115:T115" si="31">SUM(K109:K114)*$F$40</f>
        <v>681.25</v>
      </c>
      <c r="L115" s="38">
        <f t="shared" si="31"/>
        <v>681.25</v>
      </c>
      <c r="M115" s="38">
        <f t="shared" si="31"/>
        <v>681.25</v>
      </c>
      <c r="N115" s="38">
        <f t="shared" si="31"/>
        <v>681.25</v>
      </c>
      <c r="O115" s="38">
        <f t="shared" si="31"/>
        <v>681.25</v>
      </c>
      <c r="P115" s="38">
        <f t="shared" si="31"/>
        <v>681.25</v>
      </c>
      <c r="Q115" s="38">
        <f t="shared" si="31"/>
        <v>681.25</v>
      </c>
      <c r="R115" s="38">
        <f t="shared" si="31"/>
        <v>681.25</v>
      </c>
      <c r="S115" s="38">
        <f t="shared" si="31"/>
        <v>681.25</v>
      </c>
      <c r="T115" s="38">
        <f t="shared" si="31"/>
        <v>681.25</v>
      </c>
      <c r="U115" s="39">
        <f t="shared" si="30"/>
        <v>8175</v>
      </c>
    </row>
    <row r="116" spans="1:21" ht="15.75" hidden="1" thickBot="1" x14ac:dyDescent="0.35">
      <c r="A116" s="126"/>
      <c r="B116" s="126"/>
      <c r="C116" s="126"/>
      <c r="D116" s="126"/>
      <c r="E116" s="126"/>
      <c r="G116" s="30" t="s">
        <v>1</v>
      </c>
      <c r="H116" s="31"/>
      <c r="I116" s="32">
        <f>SUM(I109:I114)</f>
        <v>2725</v>
      </c>
      <c r="J116" s="32">
        <f t="shared" ref="J116:U116" si="32">SUM(J109:J114)</f>
        <v>2725</v>
      </c>
      <c r="K116" s="32">
        <f t="shared" si="32"/>
        <v>2725</v>
      </c>
      <c r="L116" s="32">
        <f t="shared" si="32"/>
        <v>2725</v>
      </c>
      <c r="M116" s="32">
        <f t="shared" si="32"/>
        <v>2725</v>
      </c>
      <c r="N116" s="32">
        <f t="shared" si="32"/>
        <v>2725</v>
      </c>
      <c r="O116" s="32">
        <f t="shared" si="32"/>
        <v>2725</v>
      </c>
      <c r="P116" s="32">
        <f t="shared" si="32"/>
        <v>2725</v>
      </c>
      <c r="Q116" s="32">
        <f t="shared" si="32"/>
        <v>2725</v>
      </c>
      <c r="R116" s="32">
        <f t="shared" si="32"/>
        <v>2725</v>
      </c>
      <c r="S116" s="32">
        <f t="shared" si="32"/>
        <v>2725</v>
      </c>
      <c r="T116" s="32">
        <f t="shared" si="32"/>
        <v>2725</v>
      </c>
      <c r="U116" s="33">
        <f t="shared" si="32"/>
        <v>32700</v>
      </c>
    </row>
    <row r="117" spans="1:21" hidden="1" x14ac:dyDescent="0.3">
      <c r="A117" s="126"/>
      <c r="B117" s="126"/>
      <c r="C117" s="126"/>
      <c r="D117" s="126"/>
      <c r="E117" s="126"/>
      <c r="G117" s="26" t="s">
        <v>56</v>
      </c>
      <c r="H117" s="24"/>
      <c r="I117" s="28"/>
      <c r="J117" s="28"/>
      <c r="K117" s="28"/>
      <c r="L117" s="28"/>
      <c r="M117" s="28"/>
      <c r="N117" s="28"/>
      <c r="O117" s="28"/>
      <c r="P117" s="28"/>
      <c r="Q117" s="28"/>
      <c r="R117" s="28"/>
      <c r="S117" s="28"/>
      <c r="T117" s="28"/>
      <c r="U117" s="34"/>
    </row>
    <row r="118" spans="1:21" hidden="1" x14ac:dyDescent="0.3">
      <c r="A118" s="126"/>
      <c r="B118" s="126"/>
      <c r="C118" s="126"/>
      <c r="D118" s="126"/>
      <c r="E118" s="126"/>
      <c r="G118" s="40" t="s">
        <v>52</v>
      </c>
      <c r="H118" s="24"/>
      <c r="I118" s="28"/>
      <c r="J118" s="28"/>
      <c r="K118" s="28"/>
      <c r="L118" s="28"/>
      <c r="M118" s="28"/>
      <c r="N118" s="28"/>
      <c r="O118" s="28"/>
      <c r="P118" s="28"/>
      <c r="Q118" s="28"/>
      <c r="R118" s="28"/>
      <c r="S118" s="28"/>
      <c r="T118" s="28"/>
      <c r="U118" s="41">
        <f>SUM(I118:T118)</f>
        <v>0</v>
      </c>
    </row>
    <row r="119" spans="1:21" hidden="1" x14ac:dyDescent="0.3">
      <c r="A119" s="126"/>
      <c r="B119" s="126"/>
      <c r="C119" s="126"/>
      <c r="D119" s="126"/>
      <c r="E119" s="126"/>
      <c r="G119" s="40" t="s">
        <v>46</v>
      </c>
      <c r="H119" s="24"/>
      <c r="I119" s="28"/>
      <c r="J119" s="28"/>
      <c r="K119" s="28"/>
      <c r="L119" s="28"/>
      <c r="M119" s="28"/>
      <c r="N119" s="28"/>
      <c r="O119" s="28"/>
      <c r="P119" s="28"/>
      <c r="Q119" s="28"/>
      <c r="R119" s="28"/>
      <c r="S119" s="28"/>
      <c r="T119" s="28"/>
      <c r="U119" s="41">
        <f>SUM(I119:T119)</f>
        <v>0</v>
      </c>
    </row>
    <row r="120" spans="1:21" hidden="1" x14ac:dyDescent="0.3">
      <c r="A120" s="126"/>
      <c r="B120" s="126"/>
      <c r="C120" s="126"/>
      <c r="D120" s="126"/>
      <c r="E120" s="126"/>
      <c r="F120" s="35">
        <v>0.1</v>
      </c>
      <c r="G120" s="36" t="str">
        <f>"Contigency"&amp;" "&amp;"at"&amp;" "&amp;(F120*100)&amp;"%"</f>
        <v>Contigency at 10%</v>
      </c>
      <c r="H120" s="24"/>
      <c r="I120" s="28">
        <f>SUM(I118:I119)*$F$50</f>
        <v>0</v>
      </c>
      <c r="J120" s="28">
        <f>SUM(J118:J119)*$F$50</f>
        <v>0</v>
      </c>
      <c r="K120" s="28">
        <f t="shared" ref="K120:T120" si="33">SUM(K118:K119)*$F$50</f>
        <v>0</v>
      </c>
      <c r="L120" s="28">
        <f t="shared" si="33"/>
        <v>0</v>
      </c>
      <c r="M120" s="28">
        <f t="shared" si="33"/>
        <v>0</v>
      </c>
      <c r="N120" s="28">
        <f t="shared" si="33"/>
        <v>0</v>
      </c>
      <c r="O120" s="28">
        <f t="shared" si="33"/>
        <v>0</v>
      </c>
      <c r="P120" s="28">
        <f t="shared" si="33"/>
        <v>0</v>
      </c>
      <c r="Q120" s="28">
        <f t="shared" si="33"/>
        <v>0</v>
      </c>
      <c r="R120" s="28">
        <f t="shared" si="33"/>
        <v>0</v>
      </c>
      <c r="S120" s="28">
        <f t="shared" si="33"/>
        <v>0</v>
      </c>
      <c r="T120" s="28">
        <f t="shared" si="33"/>
        <v>0</v>
      </c>
      <c r="U120" s="41">
        <f>SUM(I120:T120)</f>
        <v>0</v>
      </c>
    </row>
    <row r="121" spans="1:21" ht="15.75" hidden="1" thickBot="1" x14ac:dyDescent="0.35">
      <c r="A121" s="126"/>
      <c r="B121" s="126"/>
      <c r="C121" s="126"/>
      <c r="D121" s="126"/>
      <c r="E121" s="126"/>
      <c r="G121" s="30" t="s">
        <v>1</v>
      </c>
      <c r="H121" s="31"/>
      <c r="I121" s="32">
        <f>SUM(I118:I120)</f>
        <v>0</v>
      </c>
      <c r="J121" s="32">
        <f t="shared" ref="J121:T121" si="34">SUM(J118:J120)</f>
        <v>0</v>
      </c>
      <c r="K121" s="32">
        <f t="shared" si="34"/>
        <v>0</v>
      </c>
      <c r="L121" s="32">
        <f t="shared" si="34"/>
        <v>0</v>
      </c>
      <c r="M121" s="32">
        <f t="shared" si="34"/>
        <v>0</v>
      </c>
      <c r="N121" s="32">
        <f t="shared" si="34"/>
        <v>0</v>
      </c>
      <c r="O121" s="32">
        <f t="shared" si="34"/>
        <v>0</v>
      </c>
      <c r="P121" s="32">
        <f t="shared" si="34"/>
        <v>0</v>
      </c>
      <c r="Q121" s="32">
        <f t="shared" si="34"/>
        <v>0</v>
      </c>
      <c r="R121" s="32">
        <f t="shared" si="34"/>
        <v>0</v>
      </c>
      <c r="S121" s="32">
        <f t="shared" si="34"/>
        <v>0</v>
      </c>
      <c r="T121" s="32">
        <f t="shared" si="34"/>
        <v>0</v>
      </c>
      <c r="U121" s="33">
        <f>SUM(U115:U119)</f>
        <v>40875</v>
      </c>
    </row>
    <row r="122" spans="1:21" hidden="1" x14ac:dyDescent="0.3">
      <c r="A122" s="126"/>
      <c r="B122" s="126"/>
      <c r="C122" s="126"/>
      <c r="D122" s="126"/>
      <c r="E122" s="126"/>
      <c r="G122" s="26" t="s">
        <v>58</v>
      </c>
      <c r="H122" s="24"/>
      <c r="I122" s="24"/>
      <c r="J122" s="24"/>
      <c r="K122" s="24"/>
      <c r="L122" s="24"/>
      <c r="M122" s="24"/>
      <c r="N122" s="24"/>
      <c r="O122" s="24"/>
      <c r="P122" s="24"/>
      <c r="Q122" s="24"/>
      <c r="R122" s="24"/>
      <c r="S122" s="24"/>
      <c r="T122" s="24"/>
      <c r="U122" s="34"/>
    </row>
    <row r="123" spans="1:21" hidden="1" x14ac:dyDescent="0.3">
      <c r="A123" s="126"/>
      <c r="B123" s="126"/>
      <c r="C123" s="126"/>
      <c r="D123" s="126"/>
      <c r="E123" s="126"/>
      <c r="G123" s="27" t="s">
        <v>47</v>
      </c>
      <c r="H123" s="24"/>
      <c r="I123" s="28"/>
      <c r="J123" s="28"/>
      <c r="K123" s="28"/>
      <c r="L123" s="28"/>
      <c r="M123" s="28"/>
      <c r="N123" s="28"/>
      <c r="O123" s="28"/>
      <c r="P123" s="28"/>
      <c r="Q123" s="28"/>
      <c r="R123" s="28"/>
      <c r="S123" s="28"/>
      <c r="T123" s="28"/>
      <c r="U123" s="29"/>
    </row>
    <row r="124" spans="1:21" hidden="1" x14ac:dyDescent="0.3">
      <c r="A124" s="126"/>
      <c r="B124" s="126"/>
      <c r="C124" s="126"/>
      <c r="D124" s="126"/>
      <c r="E124" s="126"/>
      <c r="G124" s="27" t="s">
        <v>30</v>
      </c>
      <c r="H124" s="24"/>
      <c r="I124" s="28">
        <f>INDEX('Travel Budget'!$K$20:$K$31,MATCH('2022 Budget Expenses Model'!I$6,'Travel Budget'!$E$20:$E$31,0))</f>
        <v>0</v>
      </c>
      <c r="J124" s="28">
        <f>INDEX('Travel Budget'!$K$20:$K$31,MATCH('2022 Budget Expenses Model'!J$6,'Travel Budget'!$E$20:$E$31,0))</f>
        <v>7080</v>
      </c>
      <c r="K124" s="28">
        <f>INDEX('Travel Budget'!$K$20:$K$31,MATCH('2022 Budget Expenses Model'!K$6,'Travel Budget'!$E$20:$E$31,0))</f>
        <v>0</v>
      </c>
      <c r="L124" s="28">
        <f>INDEX('Travel Budget'!$K$20:$K$31,MATCH('2022 Budget Expenses Model'!L$6,'Travel Budget'!$E$20:$E$31,0))</f>
        <v>0</v>
      </c>
      <c r="M124" s="28">
        <f>INDEX('Travel Budget'!$K$20:$K$31,MATCH('2022 Budget Expenses Model'!M$6,'Travel Budget'!$E$20:$E$31,0))</f>
        <v>0</v>
      </c>
      <c r="N124" s="28">
        <f>INDEX('Travel Budget'!$K$20:$K$31,MATCH('2022 Budget Expenses Model'!N$6,'Travel Budget'!$E$20:$E$31,0))</f>
        <v>0</v>
      </c>
      <c r="O124" s="28">
        <f>INDEX('Travel Budget'!$K$20:$K$31,MATCH('2022 Budget Expenses Model'!O$6,'Travel Budget'!$E$20:$E$31,0))</f>
        <v>7850</v>
      </c>
      <c r="P124" s="28">
        <f>INDEX('Travel Budget'!$K$20:$K$31,MATCH('2022 Budget Expenses Model'!P$6,'Travel Budget'!$E$20:$E$31,0))</f>
        <v>0</v>
      </c>
      <c r="Q124" s="28">
        <f>INDEX('Travel Budget'!$K$20:$K$31,MATCH('2022 Budget Expenses Model'!Q$6,'Travel Budget'!$E$20:$E$31,0))</f>
        <v>7850</v>
      </c>
      <c r="R124" s="28">
        <f>INDEX('Travel Budget'!$K$20:$K$31,MATCH('2022 Budget Expenses Model'!R$6,'Travel Budget'!$E$20:$E$31,0))</f>
        <v>27190</v>
      </c>
      <c r="S124" s="28">
        <f>INDEX('Travel Budget'!$K$20:$K$31,MATCH('2022 Budget Expenses Model'!S$6,'Travel Budget'!$E$20:$E$31,0))</f>
        <v>0</v>
      </c>
      <c r="T124" s="28">
        <f>INDEX('Travel Budget'!$K$20:$K$31,MATCH('2022 Budget Expenses Model'!T$6,'Travel Budget'!$E$20:$E$31,0))</f>
        <v>0</v>
      </c>
      <c r="U124" s="29">
        <f>SUM(I124:T124)</f>
        <v>49970</v>
      </c>
    </row>
    <row r="125" spans="1:21" hidden="1" x14ac:dyDescent="0.3">
      <c r="A125" s="126"/>
      <c r="B125" s="126"/>
      <c r="C125" s="126"/>
      <c r="D125" s="126"/>
      <c r="E125" s="126"/>
      <c r="G125" s="27" t="s">
        <v>53</v>
      </c>
      <c r="H125" s="24"/>
      <c r="I125" s="28"/>
      <c r="J125" s="28"/>
      <c r="K125" s="28"/>
      <c r="L125" s="28"/>
      <c r="M125" s="28"/>
      <c r="N125" s="28"/>
      <c r="O125" s="28"/>
      <c r="P125" s="28"/>
      <c r="Q125" s="28"/>
      <c r="R125" s="28"/>
      <c r="S125" s="28"/>
      <c r="T125" s="28"/>
      <c r="U125" s="29">
        <f>SUM(I125:T125)</f>
        <v>0</v>
      </c>
    </row>
    <row r="126" spans="1:21" hidden="1" x14ac:dyDescent="0.3">
      <c r="A126" s="126"/>
      <c r="B126" s="126"/>
      <c r="C126" s="126"/>
      <c r="D126" s="126"/>
      <c r="E126" s="126"/>
      <c r="G126" s="27" t="s">
        <v>54</v>
      </c>
      <c r="H126" s="24"/>
      <c r="I126" s="28"/>
      <c r="J126" s="28">
        <v>1000</v>
      </c>
      <c r="K126" s="28"/>
      <c r="L126" s="28"/>
      <c r="M126" s="28"/>
      <c r="N126" s="28"/>
      <c r="O126" s="28"/>
      <c r="P126" s="28"/>
      <c r="Q126" s="28"/>
      <c r="R126" s="28"/>
      <c r="S126" s="28"/>
      <c r="T126" s="28"/>
      <c r="U126" s="29">
        <f>SUM(I126:T126)</f>
        <v>1000</v>
      </c>
    </row>
    <row r="127" spans="1:21" hidden="1" x14ac:dyDescent="0.3">
      <c r="A127" s="126"/>
      <c r="B127" s="126"/>
      <c r="C127" s="126"/>
      <c r="D127" s="126"/>
      <c r="E127" s="126"/>
      <c r="G127" s="27" t="s">
        <v>46</v>
      </c>
      <c r="H127" s="24"/>
      <c r="I127" s="28"/>
      <c r="J127" s="28"/>
      <c r="K127" s="28"/>
      <c r="L127" s="28"/>
      <c r="M127" s="28"/>
      <c r="N127" s="28"/>
      <c r="O127" s="28"/>
      <c r="P127" s="28"/>
      <c r="Q127" s="28"/>
      <c r="R127" s="28"/>
      <c r="S127" s="28"/>
      <c r="T127" s="28"/>
      <c r="U127" s="29">
        <f>SUM(I127:T127)</f>
        <v>0</v>
      </c>
    </row>
    <row r="128" spans="1:21" hidden="1" x14ac:dyDescent="0.3">
      <c r="A128" s="126"/>
      <c r="B128" s="126"/>
      <c r="C128" s="126"/>
      <c r="D128" s="126"/>
      <c r="E128" s="126"/>
      <c r="F128" s="35">
        <v>0.1</v>
      </c>
      <c r="G128" s="36" t="str">
        <f>"Contigency"&amp;" "&amp;"at"&amp;" "&amp;(F128*100)&amp;"%"</f>
        <v>Contigency at 10%</v>
      </c>
      <c r="H128" s="37"/>
      <c r="I128" s="38">
        <f>SUM(I123:I127)*$F$63</f>
        <v>0</v>
      </c>
      <c r="J128" s="38">
        <f>SUM(J123:J127)*$F$63</f>
        <v>808</v>
      </c>
      <c r="K128" s="38">
        <f t="shared" ref="K128:T128" si="35">SUM(K123:K127)*$F$63</f>
        <v>0</v>
      </c>
      <c r="L128" s="38">
        <f t="shared" si="35"/>
        <v>0</v>
      </c>
      <c r="M128" s="38">
        <f t="shared" si="35"/>
        <v>0</v>
      </c>
      <c r="N128" s="38">
        <f t="shared" si="35"/>
        <v>0</v>
      </c>
      <c r="O128" s="38">
        <f t="shared" si="35"/>
        <v>785</v>
      </c>
      <c r="P128" s="38">
        <f t="shared" si="35"/>
        <v>0</v>
      </c>
      <c r="Q128" s="38">
        <f t="shared" si="35"/>
        <v>785</v>
      </c>
      <c r="R128" s="38">
        <f t="shared" si="35"/>
        <v>2719</v>
      </c>
      <c r="S128" s="38">
        <f t="shared" si="35"/>
        <v>0</v>
      </c>
      <c r="T128" s="38">
        <f t="shared" si="35"/>
        <v>0</v>
      </c>
      <c r="U128" s="39">
        <f>SUM(I128:T128)</f>
        <v>5097</v>
      </c>
    </row>
    <row r="129" spans="1:21" ht="15.75" hidden="1" thickBot="1" x14ac:dyDescent="0.35">
      <c r="A129" s="126"/>
      <c r="B129" s="126"/>
      <c r="C129" s="126"/>
      <c r="D129" s="126"/>
      <c r="E129" s="126"/>
      <c r="G129" s="30" t="s">
        <v>1</v>
      </c>
      <c r="H129" s="31"/>
      <c r="I129" s="32">
        <f>SUM(I123:I128)</f>
        <v>0</v>
      </c>
      <c r="J129" s="32">
        <f t="shared" ref="J129:T129" si="36">SUM(J123:J128)</f>
        <v>8888</v>
      </c>
      <c r="K129" s="32">
        <f t="shared" si="36"/>
        <v>0</v>
      </c>
      <c r="L129" s="32">
        <f t="shared" si="36"/>
        <v>0</v>
      </c>
      <c r="M129" s="32">
        <f t="shared" si="36"/>
        <v>0</v>
      </c>
      <c r="N129" s="32">
        <f t="shared" si="36"/>
        <v>0</v>
      </c>
      <c r="O129" s="32">
        <f t="shared" si="36"/>
        <v>8635</v>
      </c>
      <c r="P129" s="32">
        <f t="shared" si="36"/>
        <v>0</v>
      </c>
      <c r="Q129" s="32">
        <f t="shared" si="36"/>
        <v>8635</v>
      </c>
      <c r="R129" s="32">
        <f t="shared" si="36"/>
        <v>29909</v>
      </c>
      <c r="S129" s="32">
        <f t="shared" si="36"/>
        <v>0</v>
      </c>
      <c r="T129" s="32">
        <f t="shared" si="36"/>
        <v>0</v>
      </c>
      <c r="U129" s="33">
        <f>SUM(U123:U127)</f>
        <v>50970</v>
      </c>
    </row>
    <row r="130" spans="1:21" hidden="1" x14ac:dyDescent="0.3">
      <c r="A130" s="126"/>
      <c r="B130" s="126"/>
      <c r="C130" s="126"/>
      <c r="D130" s="126"/>
      <c r="E130" s="126"/>
      <c r="G130" s="26" t="s">
        <v>55</v>
      </c>
      <c r="H130" s="24"/>
      <c r="I130" s="24"/>
      <c r="J130" s="24"/>
      <c r="K130" s="24"/>
      <c r="L130" s="24"/>
      <c r="M130" s="24"/>
      <c r="N130" s="24"/>
      <c r="O130" s="24"/>
      <c r="P130" s="24"/>
      <c r="Q130" s="24"/>
      <c r="R130" s="24"/>
      <c r="S130" s="24"/>
      <c r="T130" s="24"/>
      <c r="U130" s="34"/>
    </row>
    <row r="131" spans="1:21" hidden="1" x14ac:dyDescent="0.3">
      <c r="A131" s="126"/>
      <c r="B131" s="126"/>
      <c r="C131" s="126"/>
      <c r="D131" s="126"/>
      <c r="E131" s="126"/>
      <c r="G131" s="27" t="s">
        <v>60</v>
      </c>
      <c r="H131" s="24"/>
      <c r="I131" s="24"/>
      <c r="J131" s="24"/>
      <c r="K131" s="24"/>
      <c r="L131" s="24"/>
      <c r="M131" s="24"/>
      <c r="N131" s="24"/>
      <c r="O131" s="24"/>
      <c r="P131" s="24"/>
      <c r="Q131" s="24"/>
      <c r="R131" s="24"/>
      <c r="S131" s="24"/>
      <c r="T131" s="24"/>
      <c r="U131" s="29">
        <f>SUM(I131:T131)</f>
        <v>0</v>
      </c>
    </row>
    <row r="132" spans="1:21" hidden="1" x14ac:dyDescent="0.3">
      <c r="A132" s="126"/>
      <c r="B132" s="126"/>
      <c r="C132" s="126"/>
      <c r="D132" s="126"/>
      <c r="E132" s="126"/>
      <c r="G132" s="27" t="s">
        <v>61</v>
      </c>
      <c r="H132" s="24"/>
      <c r="I132" s="24"/>
      <c r="J132" s="24"/>
      <c r="K132" s="24"/>
      <c r="L132" s="24"/>
      <c r="M132" s="24"/>
      <c r="N132" s="24"/>
      <c r="O132" s="24"/>
      <c r="P132" s="24"/>
      <c r="Q132" s="24"/>
      <c r="R132" s="24"/>
      <c r="S132" s="24"/>
      <c r="T132" s="24"/>
      <c r="U132" s="29">
        <f>SUM(I132:T132)</f>
        <v>0</v>
      </c>
    </row>
    <row r="133" spans="1:21" hidden="1" x14ac:dyDescent="0.3">
      <c r="A133" s="126"/>
      <c r="B133" s="126"/>
      <c r="C133" s="126"/>
      <c r="D133" s="126"/>
      <c r="E133" s="126"/>
      <c r="G133" s="27" t="s">
        <v>62</v>
      </c>
      <c r="H133" s="24"/>
      <c r="I133" s="24"/>
      <c r="J133" s="24"/>
      <c r="K133" s="24"/>
      <c r="L133" s="24"/>
      <c r="M133" s="24"/>
      <c r="N133" s="24"/>
      <c r="O133" s="24"/>
      <c r="P133" s="24"/>
      <c r="Q133" s="24"/>
      <c r="R133" s="24"/>
      <c r="S133" s="24"/>
      <c r="T133" s="24"/>
      <c r="U133" s="29">
        <f>SUM(I133:T133)</f>
        <v>0</v>
      </c>
    </row>
    <row r="134" spans="1:21" hidden="1" x14ac:dyDescent="0.3">
      <c r="A134" s="126"/>
      <c r="B134" s="126"/>
      <c r="C134" s="126"/>
      <c r="D134" s="126"/>
      <c r="E134" s="126"/>
      <c r="G134" s="27" t="s">
        <v>46</v>
      </c>
      <c r="H134" s="24"/>
      <c r="I134" s="24"/>
      <c r="J134" s="24"/>
      <c r="K134" s="24"/>
      <c r="L134" s="24"/>
      <c r="M134" s="24"/>
      <c r="N134" s="24"/>
      <c r="O134" s="24"/>
      <c r="P134" s="24"/>
      <c r="Q134" s="24"/>
      <c r="R134" s="24"/>
      <c r="S134" s="24"/>
      <c r="T134" s="24"/>
      <c r="U134" s="29">
        <f>SUM(I134:T134)</f>
        <v>0</v>
      </c>
    </row>
    <row r="135" spans="1:21" hidden="1" x14ac:dyDescent="0.3">
      <c r="A135" s="126"/>
      <c r="B135" s="126"/>
      <c r="C135" s="126"/>
      <c r="D135" s="126"/>
      <c r="E135" s="126"/>
      <c r="F135" s="35">
        <v>0.1</v>
      </c>
      <c r="G135" s="36" t="str">
        <f>"Contigency"&amp;" "&amp;"at"&amp;" "&amp;(F135*100)&amp;"%"</f>
        <v>Contigency at 10%</v>
      </c>
      <c r="H135" s="24"/>
      <c r="I135" s="28">
        <f>SUM(I131:I134)*$F$71</f>
        <v>0</v>
      </c>
      <c r="J135" s="28">
        <f>SUM(J131:J134)*$F$71</f>
        <v>0</v>
      </c>
      <c r="K135" s="28">
        <f t="shared" ref="K135:T135" si="37">SUM(K131:K134)*$F$71</f>
        <v>0</v>
      </c>
      <c r="L135" s="28">
        <f t="shared" si="37"/>
        <v>0</v>
      </c>
      <c r="M135" s="28">
        <f t="shared" si="37"/>
        <v>0</v>
      </c>
      <c r="N135" s="28">
        <f t="shared" si="37"/>
        <v>0</v>
      </c>
      <c r="O135" s="28">
        <f t="shared" si="37"/>
        <v>0</v>
      </c>
      <c r="P135" s="28">
        <f t="shared" si="37"/>
        <v>0</v>
      </c>
      <c r="Q135" s="28">
        <f t="shared" si="37"/>
        <v>0</v>
      </c>
      <c r="R135" s="28">
        <f t="shared" si="37"/>
        <v>0</v>
      </c>
      <c r="S135" s="28">
        <f t="shared" si="37"/>
        <v>0</v>
      </c>
      <c r="T135" s="28">
        <f t="shared" si="37"/>
        <v>0</v>
      </c>
      <c r="U135" s="29">
        <f>SUM(I135:T135)</f>
        <v>0</v>
      </c>
    </row>
    <row r="136" spans="1:21" ht="15.75" hidden="1" thickBot="1" x14ac:dyDescent="0.35">
      <c r="A136" s="126"/>
      <c r="B136" s="126"/>
      <c r="C136" s="126"/>
      <c r="D136" s="126"/>
      <c r="E136" s="126"/>
      <c r="G136" s="30" t="s">
        <v>1</v>
      </c>
      <c r="H136" s="31"/>
      <c r="I136" s="32">
        <f t="shared" ref="I136:T136" si="38">SUM(I131:I135)</f>
        <v>0</v>
      </c>
      <c r="J136" s="32">
        <f t="shared" si="38"/>
        <v>0</v>
      </c>
      <c r="K136" s="32">
        <f t="shared" si="38"/>
        <v>0</v>
      </c>
      <c r="L136" s="32">
        <f t="shared" si="38"/>
        <v>0</v>
      </c>
      <c r="M136" s="32">
        <f t="shared" si="38"/>
        <v>0</v>
      </c>
      <c r="N136" s="32">
        <f t="shared" si="38"/>
        <v>0</v>
      </c>
      <c r="O136" s="32">
        <f t="shared" si="38"/>
        <v>0</v>
      </c>
      <c r="P136" s="32">
        <f t="shared" si="38"/>
        <v>0</v>
      </c>
      <c r="Q136" s="32">
        <f t="shared" si="38"/>
        <v>0</v>
      </c>
      <c r="R136" s="32">
        <f t="shared" si="38"/>
        <v>0</v>
      </c>
      <c r="S136" s="32">
        <f t="shared" si="38"/>
        <v>0</v>
      </c>
      <c r="T136" s="32">
        <f t="shared" si="38"/>
        <v>0</v>
      </c>
      <c r="U136" s="33">
        <f>SUM(U131:U134)</f>
        <v>0</v>
      </c>
    </row>
    <row r="137" spans="1:21" hidden="1" x14ac:dyDescent="0.3">
      <c r="A137" s="126"/>
      <c r="B137" s="126"/>
      <c r="C137" s="126"/>
      <c r="D137" s="126"/>
      <c r="E137" s="126"/>
      <c r="G137" s="42"/>
      <c r="H137" s="37"/>
      <c r="I137" s="37"/>
      <c r="J137" s="37"/>
      <c r="K137" s="37"/>
      <c r="L137" s="37"/>
      <c r="M137" s="37"/>
      <c r="N137" s="37"/>
      <c r="O137" s="37"/>
      <c r="P137" s="37"/>
      <c r="Q137" s="37"/>
      <c r="R137" s="37"/>
      <c r="S137" s="37"/>
      <c r="T137" s="37"/>
      <c r="U137" s="43"/>
    </row>
    <row r="138" spans="1:21" ht="15.75" hidden="1" thickBot="1" x14ac:dyDescent="0.35">
      <c r="A138" s="126"/>
      <c r="B138" s="126"/>
      <c r="C138" s="126"/>
      <c r="D138" s="126"/>
      <c r="E138" s="126"/>
      <c r="G138" s="134" t="s">
        <v>63</v>
      </c>
      <c r="H138" s="135"/>
      <c r="I138" s="136">
        <f t="shared" ref="I138:U138" si="39">I101+I107+I116+I120+I129+I136</f>
        <v>34591.666666666672</v>
      </c>
      <c r="J138" s="136">
        <f t="shared" si="39"/>
        <v>43479.666666666672</v>
      </c>
      <c r="K138" s="136">
        <f t="shared" si="39"/>
        <v>34921.666666666672</v>
      </c>
      <c r="L138" s="136">
        <f t="shared" si="39"/>
        <v>34591.666666666672</v>
      </c>
      <c r="M138" s="136">
        <f t="shared" si="39"/>
        <v>34591.666666666672</v>
      </c>
      <c r="N138" s="136">
        <f t="shared" si="39"/>
        <v>34921.666666666672</v>
      </c>
      <c r="O138" s="136">
        <f t="shared" si="39"/>
        <v>43226.666666666672</v>
      </c>
      <c r="P138" s="136">
        <f t="shared" si="39"/>
        <v>45591.666666666672</v>
      </c>
      <c r="Q138" s="136">
        <f t="shared" si="39"/>
        <v>43556.666666666672</v>
      </c>
      <c r="R138" s="136">
        <f t="shared" si="39"/>
        <v>64500.666666666672</v>
      </c>
      <c r="S138" s="136">
        <f t="shared" si="39"/>
        <v>34591.666666666672</v>
      </c>
      <c r="T138" s="136">
        <f t="shared" si="39"/>
        <v>37121.666666666672</v>
      </c>
      <c r="U138" s="44">
        <f t="shared" si="39"/>
        <v>480590</v>
      </c>
    </row>
    <row r="139" spans="1:21" hidden="1" x14ac:dyDescent="0.3">
      <c r="A139" s="126"/>
      <c r="B139" s="126"/>
      <c r="C139" s="126"/>
      <c r="D139" s="126"/>
      <c r="E139" s="126"/>
    </row>
    <row r="140" spans="1:21" hidden="1" x14ac:dyDescent="0.3">
      <c r="A140" s="126"/>
      <c r="B140" s="126"/>
      <c r="C140" s="126"/>
      <c r="D140" s="126"/>
      <c r="E140" s="126"/>
    </row>
    <row r="141" spans="1:21" hidden="1" x14ac:dyDescent="0.3">
      <c r="A141" s="126"/>
      <c r="B141" s="126"/>
      <c r="C141" s="126"/>
      <c r="D141" s="126"/>
      <c r="E141" s="126"/>
    </row>
    <row r="142" spans="1:21" hidden="1" x14ac:dyDescent="0.3">
      <c r="A142" s="126"/>
      <c r="B142" s="126"/>
      <c r="C142" s="126"/>
      <c r="D142" s="126"/>
      <c r="E142" s="126"/>
    </row>
    <row r="143" spans="1:21" hidden="1" x14ac:dyDescent="0.3">
      <c r="A143" s="126"/>
      <c r="B143" s="126"/>
      <c r="C143" s="126"/>
      <c r="D143" s="126"/>
      <c r="E143" s="126"/>
    </row>
    <row r="144" spans="1:21" hidden="1" x14ac:dyDescent="0.3">
      <c r="A144" s="126"/>
      <c r="B144" s="126"/>
      <c r="C144" s="126"/>
      <c r="D144" s="126"/>
      <c r="E144" s="126"/>
    </row>
    <row r="145" spans="1:21" hidden="1" x14ac:dyDescent="0.3">
      <c r="A145" s="126"/>
      <c r="B145" s="126"/>
      <c r="C145" s="126"/>
      <c r="D145" s="126"/>
      <c r="E145" s="126"/>
    </row>
    <row r="146" spans="1:21" hidden="1" x14ac:dyDescent="0.3">
      <c r="A146" s="126"/>
      <c r="B146" s="126"/>
      <c r="C146" s="126"/>
      <c r="D146" s="126"/>
      <c r="E146" s="126"/>
    </row>
    <row r="147" spans="1:21" hidden="1" x14ac:dyDescent="0.3">
      <c r="A147" s="126"/>
      <c r="B147" s="126"/>
      <c r="C147" s="126"/>
      <c r="D147" s="126"/>
      <c r="E147" s="126"/>
    </row>
    <row r="148" spans="1:21" hidden="1" x14ac:dyDescent="0.3">
      <c r="A148" s="126"/>
      <c r="B148" s="126"/>
      <c r="C148" s="126"/>
      <c r="D148" s="126"/>
      <c r="E148" s="126"/>
    </row>
    <row r="149" spans="1:21" hidden="1" x14ac:dyDescent="0.3">
      <c r="A149" s="126"/>
      <c r="B149" s="126"/>
      <c r="C149" s="126"/>
      <c r="D149" s="126"/>
      <c r="E149" s="126"/>
    </row>
    <row r="150" spans="1:21" hidden="1" x14ac:dyDescent="0.3">
      <c r="A150" s="126"/>
      <c r="B150" s="126"/>
      <c r="C150" s="126"/>
      <c r="D150" s="126"/>
      <c r="E150" s="126"/>
    </row>
    <row r="151" spans="1:21" hidden="1" x14ac:dyDescent="0.3">
      <c r="A151" s="126"/>
      <c r="B151" s="126"/>
      <c r="C151" s="126"/>
      <c r="D151" s="126"/>
      <c r="E151" s="126"/>
    </row>
    <row r="152" spans="1:21" hidden="1" x14ac:dyDescent="0.3">
      <c r="A152" s="126"/>
      <c r="B152" s="126"/>
      <c r="C152" s="126"/>
      <c r="D152" s="126"/>
      <c r="E152" s="126"/>
      <c r="F152" s="143"/>
      <c r="G152" s="164" t="s">
        <v>50</v>
      </c>
      <c r="H152" s="165"/>
      <c r="I152" s="166">
        <v>43831</v>
      </c>
      <c r="J152" s="166">
        <v>43862</v>
      </c>
      <c r="K152" s="166">
        <v>43891</v>
      </c>
      <c r="L152" s="166">
        <v>43922</v>
      </c>
      <c r="M152" s="166">
        <v>43952</v>
      </c>
      <c r="N152" s="166">
        <v>43983</v>
      </c>
      <c r="O152" s="166">
        <v>44013</v>
      </c>
      <c r="P152" s="166">
        <v>44044</v>
      </c>
      <c r="Q152" s="166">
        <v>44075</v>
      </c>
      <c r="R152" s="166">
        <v>44105</v>
      </c>
      <c r="S152" s="166">
        <v>44136</v>
      </c>
      <c r="T152" s="167">
        <v>44166</v>
      </c>
      <c r="U152" s="144" t="s">
        <v>1</v>
      </c>
    </row>
    <row r="153" spans="1:21" hidden="1" x14ac:dyDescent="0.3">
      <c r="A153" s="126"/>
      <c r="B153" s="126"/>
      <c r="C153" s="126"/>
      <c r="D153" s="126"/>
      <c r="E153" s="126"/>
      <c r="F153" s="122"/>
      <c r="G153" s="123"/>
      <c r="H153" s="124"/>
      <c r="I153" s="125"/>
      <c r="J153" s="125"/>
      <c r="K153" s="125"/>
      <c r="L153" s="125"/>
      <c r="M153" s="125"/>
      <c r="N153" s="125"/>
      <c r="O153" s="125"/>
      <c r="P153" s="125"/>
      <c r="Q153" s="125"/>
      <c r="R153" s="125"/>
      <c r="S153" s="125"/>
      <c r="T153" s="125"/>
      <c r="U153" s="132"/>
    </row>
    <row r="154" spans="1:21" hidden="1" x14ac:dyDescent="0.3">
      <c r="A154" s="126"/>
      <c r="B154" s="126"/>
      <c r="C154" s="126"/>
      <c r="D154" s="126"/>
      <c r="E154" s="126"/>
      <c r="F154" s="122"/>
      <c r="G154" s="26" t="s">
        <v>114</v>
      </c>
      <c r="H154" s="124"/>
      <c r="I154" s="125"/>
      <c r="J154" s="125"/>
      <c r="K154" s="125"/>
      <c r="L154" s="125"/>
      <c r="M154" s="125"/>
      <c r="N154" s="125"/>
      <c r="O154" s="125"/>
      <c r="P154" s="125"/>
      <c r="Q154" s="125"/>
      <c r="R154" s="125"/>
      <c r="S154" s="125"/>
      <c r="T154" s="125"/>
      <c r="U154" s="132"/>
    </row>
    <row r="155" spans="1:21" hidden="1" x14ac:dyDescent="0.3">
      <c r="A155" s="126"/>
      <c r="B155" s="126"/>
      <c r="C155" s="126"/>
      <c r="D155" s="126"/>
      <c r="E155" s="126"/>
      <c r="F155" s="126"/>
      <c r="G155" s="133" t="s">
        <v>101</v>
      </c>
      <c r="H155" s="127"/>
      <c r="I155" s="128"/>
      <c r="J155" s="128"/>
      <c r="K155" s="128"/>
      <c r="L155" s="128"/>
      <c r="M155" s="128"/>
      <c r="N155" s="128"/>
      <c r="O155" s="128"/>
      <c r="P155" s="128"/>
      <c r="Q155" s="128"/>
      <c r="R155" s="128"/>
      <c r="S155" s="128"/>
      <c r="T155" s="128"/>
      <c r="U155" s="132"/>
    </row>
    <row r="156" spans="1:21" hidden="1" x14ac:dyDescent="0.3">
      <c r="A156" s="126"/>
      <c r="B156" s="126"/>
      <c r="C156" s="126"/>
      <c r="D156" s="126"/>
      <c r="E156" s="126"/>
      <c r="F156" s="126"/>
      <c r="G156" s="133" t="s">
        <v>53</v>
      </c>
      <c r="H156" s="127"/>
      <c r="I156" s="128"/>
      <c r="J156" s="128"/>
      <c r="K156" s="128"/>
      <c r="L156" s="128"/>
      <c r="M156" s="128"/>
      <c r="N156" s="128"/>
      <c r="O156" s="128"/>
      <c r="P156" s="128"/>
      <c r="Q156" s="128"/>
      <c r="R156" s="128"/>
      <c r="S156" s="128"/>
      <c r="T156" s="128"/>
      <c r="U156" s="132"/>
    </row>
    <row r="157" spans="1:21" hidden="1" x14ac:dyDescent="0.3">
      <c r="A157" s="126"/>
      <c r="B157" s="126"/>
      <c r="C157" s="126"/>
      <c r="D157" s="126"/>
      <c r="E157" s="126"/>
      <c r="F157" s="126"/>
      <c r="G157" s="133" t="s">
        <v>115</v>
      </c>
      <c r="H157" s="127"/>
      <c r="I157" s="128"/>
      <c r="J157" s="128"/>
      <c r="K157" s="128"/>
      <c r="L157" s="128"/>
      <c r="M157" s="128"/>
      <c r="N157" s="128"/>
      <c r="O157" s="128"/>
      <c r="P157" s="128"/>
      <c r="Q157" s="128"/>
      <c r="R157" s="128"/>
      <c r="S157" s="128"/>
      <c r="T157" s="128"/>
      <c r="U157" s="132"/>
    </row>
    <row r="158" spans="1:21" hidden="1" x14ac:dyDescent="0.3">
      <c r="A158" s="126"/>
      <c r="B158" s="126"/>
      <c r="C158" s="126"/>
      <c r="D158" s="126"/>
      <c r="E158" s="126"/>
      <c r="F158" s="129"/>
      <c r="G158" s="133" t="s">
        <v>102</v>
      </c>
      <c r="H158" s="131"/>
      <c r="I158" s="131"/>
      <c r="J158" s="131"/>
      <c r="K158" s="131"/>
      <c r="L158" s="131"/>
      <c r="M158" s="131"/>
      <c r="N158" s="131"/>
      <c r="O158" s="131"/>
      <c r="P158" s="131"/>
      <c r="Q158" s="131"/>
      <c r="R158" s="131"/>
      <c r="S158" s="131"/>
      <c r="T158" s="131"/>
      <c r="U158" s="132"/>
    </row>
    <row r="159" spans="1:21" hidden="1" x14ac:dyDescent="0.3">
      <c r="A159" s="126"/>
      <c r="B159" s="126"/>
      <c r="C159" s="126"/>
      <c r="D159" s="126"/>
      <c r="E159" s="126"/>
      <c r="F159" s="129"/>
      <c r="G159" s="133" t="s">
        <v>116</v>
      </c>
      <c r="H159" s="131"/>
      <c r="I159" s="131"/>
      <c r="J159" s="131"/>
      <c r="K159" s="131"/>
      <c r="L159" s="131"/>
      <c r="M159" s="131"/>
      <c r="N159" s="131"/>
      <c r="O159" s="131"/>
      <c r="P159" s="131"/>
      <c r="Q159" s="131"/>
      <c r="R159" s="131"/>
      <c r="S159" s="131"/>
      <c r="T159" s="131"/>
      <c r="U159" s="132"/>
    </row>
    <row r="160" spans="1:21" ht="15.75" hidden="1" thickBot="1" x14ac:dyDescent="0.35">
      <c r="A160" s="126"/>
      <c r="B160" s="126"/>
      <c r="C160" s="126"/>
      <c r="D160" s="126"/>
      <c r="E160" s="126"/>
      <c r="F160" s="129"/>
      <c r="G160" s="30" t="s">
        <v>1</v>
      </c>
      <c r="H160" s="31"/>
      <c r="I160" s="32">
        <f t="shared" ref="I160:U160" si="40">SUM(I155:I159)</f>
        <v>0</v>
      </c>
      <c r="J160" s="32">
        <f t="shared" si="40"/>
        <v>0</v>
      </c>
      <c r="K160" s="32">
        <f t="shared" si="40"/>
        <v>0</v>
      </c>
      <c r="L160" s="32">
        <f t="shared" si="40"/>
        <v>0</v>
      </c>
      <c r="M160" s="32">
        <f t="shared" si="40"/>
        <v>0</v>
      </c>
      <c r="N160" s="32">
        <f t="shared" si="40"/>
        <v>0</v>
      </c>
      <c r="O160" s="32">
        <f t="shared" si="40"/>
        <v>0</v>
      </c>
      <c r="P160" s="32">
        <f t="shared" si="40"/>
        <v>0</v>
      </c>
      <c r="Q160" s="32">
        <f t="shared" si="40"/>
        <v>0</v>
      </c>
      <c r="R160" s="32">
        <f t="shared" si="40"/>
        <v>0</v>
      </c>
      <c r="S160" s="32">
        <f t="shared" si="40"/>
        <v>0</v>
      </c>
      <c r="T160" s="32">
        <f t="shared" si="40"/>
        <v>0</v>
      </c>
      <c r="U160" s="33">
        <f t="shared" si="40"/>
        <v>0</v>
      </c>
    </row>
    <row r="161" spans="1:21" hidden="1" x14ac:dyDescent="0.3">
      <c r="A161" s="126"/>
      <c r="B161" s="126"/>
      <c r="C161" s="126"/>
      <c r="D161" s="126"/>
      <c r="E161" s="126"/>
      <c r="F161" s="129"/>
      <c r="G161" s="130"/>
      <c r="H161" s="131"/>
      <c r="I161" s="131"/>
      <c r="J161" s="131"/>
      <c r="K161" s="131"/>
      <c r="L161" s="131"/>
      <c r="M161" s="131"/>
      <c r="N161" s="131"/>
      <c r="O161" s="131"/>
      <c r="P161" s="131"/>
      <c r="Q161" s="131"/>
      <c r="R161" s="131"/>
      <c r="S161" s="131"/>
      <c r="T161" s="131"/>
      <c r="U161" s="132"/>
    </row>
    <row r="162" spans="1:21" hidden="1" x14ac:dyDescent="0.3">
      <c r="A162" s="126"/>
      <c r="B162" s="126"/>
      <c r="C162" s="126"/>
      <c r="D162" s="126"/>
      <c r="E162" s="126"/>
      <c r="G162" s="26" t="s">
        <v>36</v>
      </c>
      <c r="H162" s="24"/>
      <c r="I162" s="24"/>
      <c r="J162" s="24"/>
      <c r="K162" s="24"/>
      <c r="L162" s="24"/>
      <c r="M162" s="24"/>
      <c r="N162" s="24"/>
      <c r="O162" s="24"/>
      <c r="P162" s="24"/>
      <c r="Q162" s="24"/>
      <c r="R162" s="24"/>
      <c r="S162" s="24"/>
      <c r="T162" s="24"/>
      <c r="U162" s="25"/>
    </row>
    <row r="163" spans="1:21" hidden="1" x14ac:dyDescent="0.3">
      <c r="A163" s="126"/>
      <c r="B163" s="126"/>
      <c r="C163" s="126"/>
      <c r="D163" s="126"/>
      <c r="E163" s="126"/>
      <c r="G163" s="27" t="s">
        <v>37</v>
      </c>
      <c r="H163" s="24"/>
      <c r="I163" s="28">
        <f>200000/12</f>
        <v>16666.666666666668</v>
      </c>
      <c r="J163" s="28">
        <f t="shared" ref="J163:T163" si="41">200000/12</f>
        <v>16666.666666666668</v>
      </c>
      <c r="K163" s="28">
        <f t="shared" si="41"/>
        <v>16666.666666666668</v>
      </c>
      <c r="L163" s="28">
        <f t="shared" si="41"/>
        <v>16666.666666666668</v>
      </c>
      <c r="M163" s="28">
        <f t="shared" si="41"/>
        <v>16666.666666666668</v>
      </c>
      <c r="N163" s="28">
        <f t="shared" si="41"/>
        <v>16666.666666666668</v>
      </c>
      <c r="O163" s="28">
        <f t="shared" si="41"/>
        <v>16666.666666666668</v>
      </c>
      <c r="P163" s="28">
        <f t="shared" si="41"/>
        <v>16666.666666666668</v>
      </c>
      <c r="Q163" s="28">
        <f t="shared" si="41"/>
        <v>16666.666666666668</v>
      </c>
      <c r="R163" s="28">
        <f t="shared" si="41"/>
        <v>16666.666666666668</v>
      </c>
      <c r="S163" s="28">
        <f t="shared" si="41"/>
        <v>16666.666666666668</v>
      </c>
      <c r="T163" s="28">
        <f t="shared" si="41"/>
        <v>16666.666666666668</v>
      </c>
      <c r="U163" s="29">
        <f>SUM(I163:T163)</f>
        <v>199999.99999999997</v>
      </c>
    </row>
    <row r="164" spans="1:21" hidden="1" x14ac:dyDescent="0.3">
      <c r="A164" s="126"/>
      <c r="B164" s="126"/>
      <c r="C164" s="126"/>
      <c r="D164" s="126"/>
      <c r="E164" s="126"/>
      <c r="G164" s="27" t="s">
        <v>39</v>
      </c>
      <c r="H164" s="24"/>
      <c r="I164" s="28">
        <f>10000</f>
        <v>10000</v>
      </c>
      <c r="J164" s="28">
        <f>10000</f>
        <v>10000</v>
      </c>
      <c r="K164" s="28">
        <f>10000</f>
        <v>10000</v>
      </c>
      <c r="L164" s="28">
        <f>10000</f>
        <v>10000</v>
      </c>
      <c r="M164" s="28">
        <f>10000</f>
        <v>10000</v>
      </c>
      <c r="N164" s="28">
        <f>10000</f>
        <v>10000</v>
      </c>
      <c r="O164" s="28">
        <f>10000</f>
        <v>10000</v>
      </c>
      <c r="P164" s="28">
        <f>10000</f>
        <v>10000</v>
      </c>
      <c r="Q164" s="28">
        <f>10000</f>
        <v>10000</v>
      </c>
      <c r="R164" s="28">
        <f>10000</f>
        <v>10000</v>
      </c>
      <c r="S164" s="28">
        <f>10000</f>
        <v>10000</v>
      </c>
      <c r="T164" s="28">
        <f>10000</f>
        <v>10000</v>
      </c>
      <c r="U164" s="29">
        <f>SUM(I164:T164)</f>
        <v>120000</v>
      </c>
    </row>
    <row r="165" spans="1:21" hidden="1" x14ac:dyDescent="0.3">
      <c r="A165" s="126"/>
      <c r="B165" s="126"/>
      <c r="C165" s="126"/>
      <c r="D165" s="126"/>
      <c r="E165" s="126"/>
      <c r="G165" s="27" t="s">
        <v>38</v>
      </c>
      <c r="H165" s="24"/>
      <c r="I165" s="28">
        <f>30*65*4</f>
        <v>7800</v>
      </c>
      <c r="J165" s="28">
        <f t="shared" ref="J165:T165" si="42">30*65*4</f>
        <v>7800</v>
      </c>
      <c r="K165" s="28">
        <f t="shared" si="42"/>
        <v>7800</v>
      </c>
      <c r="L165" s="28">
        <f t="shared" si="42"/>
        <v>7800</v>
      </c>
      <c r="M165" s="28">
        <f t="shared" si="42"/>
        <v>7800</v>
      </c>
      <c r="N165" s="28">
        <f t="shared" si="42"/>
        <v>7800</v>
      </c>
      <c r="O165" s="28">
        <f t="shared" si="42"/>
        <v>7800</v>
      </c>
      <c r="P165" s="28">
        <f t="shared" si="42"/>
        <v>7800</v>
      </c>
      <c r="Q165" s="28">
        <f t="shared" si="42"/>
        <v>7800</v>
      </c>
      <c r="R165" s="28">
        <f t="shared" si="42"/>
        <v>7800</v>
      </c>
      <c r="S165" s="28">
        <f t="shared" si="42"/>
        <v>7800</v>
      </c>
      <c r="T165" s="28">
        <f t="shared" si="42"/>
        <v>7800</v>
      </c>
      <c r="U165" s="29">
        <f>SUM(I165:T165)</f>
        <v>93600</v>
      </c>
    </row>
    <row r="166" spans="1:21" hidden="1" x14ac:dyDescent="0.3">
      <c r="A166" s="126"/>
      <c r="B166" s="126"/>
      <c r="C166" s="126"/>
      <c r="D166" s="126"/>
      <c r="E166" s="126"/>
      <c r="G166" s="27" t="s">
        <v>59</v>
      </c>
      <c r="H166" s="24"/>
      <c r="I166" s="28"/>
      <c r="J166" s="28"/>
      <c r="K166" s="28"/>
      <c r="L166" s="28"/>
      <c r="M166" s="28"/>
      <c r="N166" s="28"/>
      <c r="O166" s="28"/>
      <c r="P166" s="28"/>
      <c r="Q166" s="28"/>
      <c r="R166" s="28"/>
      <c r="S166" s="28"/>
      <c r="T166" s="28"/>
      <c r="U166" s="29">
        <f>SUM(I166:T166)</f>
        <v>0</v>
      </c>
    </row>
    <row r="167" spans="1:21" ht="15.75" hidden="1" thickBot="1" x14ac:dyDescent="0.35">
      <c r="A167" s="126"/>
      <c r="B167" s="126"/>
      <c r="C167" s="126"/>
      <c r="D167" s="126"/>
      <c r="E167" s="126"/>
      <c r="G167" s="30" t="s">
        <v>1</v>
      </c>
      <c r="H167" s="31"/>
      <c r="I167" s="32">
        <f>SUM(I163:I166)</f>
        <v>34466.666666666672</v>
      </c>
      <c r="J167" s="32">
        <f t="shared" ref="J167:U167" si="43">SUM(J163:J166)</f>
        <v>34466.666666666672</v>
      </c>
      <c r="K167" s="32">
        <f t="shared" si="43"/>
        <v>34466.666666666672</v>
      </c>
      <c r="L167" s="32">
        <f t="shared" si="43"/>
        <v>34466.666666666672</v>
      </c>
      <c r="M167" s="32">
        <f t="shared" si="43"/>
        <v>34466.666666666672</v>
      </c>
      <c r="N167" s="32">
        <f t="shared" si="43"/>
        <v>34466.666666666672</v>
      </c>
      <c r="O167" s="32">
        <f t="shared" si="43"/>
        <v>34466.666666666672</v>
      </c>
      <c r="P167" s="32">
        <f t="shared" si="43"/>
        <v>34466.666666666672</v>
      </c>
      <c r="Q167" s="32">
        <f t="shared" si="43"/>
        <v>34466.666666666672</v>
      </c>
      <c r="R167" s="32">
        <f t="shared" si="43"/>
        <v>34466.666666666672</v>
      </c>
      <c r="S167" s="32">
        <f t="shared" si="43"/>
        <v>34466.666666666672</v>
      </c>
      <c r="T167" s="32">
        <f t="shared" si="43"/>
        <v>34466.666666666672</v>
      </c>
      <c r="U167" s="33">
        <f t="shared" si="43"/>
        <v>413600</v>
      </c>
    </row>
    <row r="168" spans="1:21" hidden="1" x14ac:dyDescent="0.3">
      <c r="A168" s="126"/>
      <c r="B168" s="126"/>
      <c r="C168" s="126"/>
      <c r="D168" s="126"/>
      <c r="E168" s="126"/>
      <c r="G168" s="26" t="s">
        <v>31</v>
      </c>
      <c r="H168" s="24"/>
      <c r="I168" s="24"/>
      <c r="J168" s="24"/>
      <c r="K168" s="24"/>
      <c r="L168" s="24"/>
      <c r="M168" s="24"/>
      <c r="N168" s="24"/>
      <c r="O168" s="24"/>
      <c r="P168" s="24"/>
      <c r="Q168" s="24"/>
      <c r="R168" s="24"/>
      <c r="S168" s="24"/>
      <c r="T168" s="24"/>
      <c r="U168" s="34"/>
    </row>
    <row r="169" spans="1:21" hidden="1" x14ac:dyDescent="0.3">
      <c r="A169" s="126"/>
      <c r="B169" s="126"/>
      <c r="C169" s="126"/>
      <c r="D169" s="126"/>
      <c r="E169" s="126"/>
      <c r="G169" s="27" t="s">
        <v>40</v>
      </c>
      <c r="H169" s="24"/>
      <c r="I169" s="28"/>
      <c r="J169" s="28"/>
      <c r="K169" s="28"/>
      <c r="L169" s="28"/>
      <c r="M169" s="28"/>
      <c r="N169" s="28"/>
      <c r="O169" s="28"/>
      <c r="P169" s="28">
        <v>10000</v>
      </c>
      <c r="Q169" s="28"/>
      <c r="R169" s="28"/>
      <c r="S169" s="28"/>
      <c r="T169" s="28"/>
      <c r="U169" s="29">
        <f>SUM(I169:T169)</f>
        <v>10000</v>
      </c>
    </row>
    <row r="170" spans="1:21" hidden="1" x14ac:dyDescent="0.3">
      <c r="A170" s="126"/>
      <c r="B170" s="126"/>
      <c r="C170" s="126"/>
      <c r="D170" s="126"/>
      <c r="E170" s="126"/>
      <c r="G170" s="27" t="s">
        <v>48</v>
      </c>
      <c r="H170" s="24"/>
      <c r="I170" s="28"/>
      <c r="J170" s="28"/>
      <c r="K170" s="28">
        <v>5000</v>
      </c>
      <c r="L170" s="28"/>
      <c r="M170" s="28"/>
      <c r="N170" s="28">
        <v>5000</v>
      </c>
      <c r="O170" s="28"/>
      <c r="P170" s="28"/>
      <c r="Q170" s="28">
        <v>5000</v>
      </c>
      <c r="R170" s="28"/>
      <c r="S170" s="28"/>
      <c r="T170" s="28">
        <v>5000</v>
      </c>
      <c r="U170" s="29">
        <f>SUM(I170:T170)</f>
        <v>20000</v>
      </c>
    </row>
    <row r="171" spans="1:21" hidden="1" x14ac:dyDescent="0.3">
      <c r="A171" s="126"/>
      <c r="B171" s="126"/>
      <c r="C171" s="126"/>
      <c r="D171" s="126"/>
      <c r="E171" s="126"/>
      <c r="G171" s="27" t="s">
        <v>49</v>
      </c>
      <c r="H171" s="24"/>
      <c r="I171" s="28"/>
      <c r="J171" s="28"/>
      <c r="K171" s="28"/>
      <c r="L171" s="28"/>
      <c r="M171" s="28"/>
      <c r="N171" s="28"/>
      <c r="O171" s="28"/>
      <c r="P171" s="28"/>
      <c r="Q171" s="28"/>
      <c r="R171" s="28"/>
      <c r="S171" s="28"/>
      <c r="T171" s="28"/>
      <c r="U171" s="29">
        <f>SUM(I171:T171)</f>
        <v>0</v>
      </c>
    </row>
    <row r="172" spans="1:21" hidden="1" x14ac:dyDescent="0.3">
      <c r="A172" s="126"/>
      <c r="B172" s="126"/>
      <c r="C172" s="126"/>
      <c r="D172" s="126"/>
      <c r="E172" s="126"/>
      <c r="F172" s="35">
        <v>0.1</v>
      </c>
      <c r="G172" s="36" t="str">
        <f>"Contigency"&amp;" "&amp;"at"&amp;" "&amp;(F172*100)&amp;"%"</f>
        <v>Contigency at 10%</v>
      </c>
      <c r="H172" s="37"/>
      <c r="I172" s="38">
        <f>SUM(I169:I171)*$F$31</f>
        <v>0</v>
      </c>
      <c r="J172" s="38">
        <f>SUM(J169:J171)*$F$31</f>
        <v>0</v>
      </c>
      <c r="K172" s="38">
        <f t="shared" ref="K172:T172" si="44">SUM(K169:K171)*$F$31</f>
        <v>500</v>
      </c>
      <c r="L172" s="38">
        <f t="shared" si="44"/>
        <v>0</v>
      </c>
      <c r="M172" s="38">
        <f t="shared" si="44"/>
        <v>0</v>
      </c>
      <c r="N172" s="38">
        <f t="shared" si="44"/>
        <v>500</v>
      </c>
      <c r="O172" s="38">
        <f t="shared" si="44"/>
        <v>0</v>
      </c>
      <c r="P172" s="38">
        <f t="shared" si="44"/>
        <v>1000</v>
      </c>
      <c r="Q172" s="38">
        <f t="shared" si="44"/>
        <v>500</v>
      </c>
      <c r="R172" s="38">
        <f t="shared" si="44"/>
        <v>0</v>
      </c>
      <c r="S172" s="38">
        <f t="shared" si="44"/>
        <v>0</v>
      </c>
      <c r="T172" s="38">
        <f t="shared" si="44"/>
        <v>500</v>
      </c>
      <c r="U172" s="39">
        <f>SUM(I172:T172)</f>
        <v>3000</v>
      </c>
    </row>
    <row r="173" spans="1:21" ht="15.75" hidden="1" thickBot="1" x14ac:dyDescent="0.35">
      <c r="A173" s="126"/>
      <c r="B173" s="126"/>
      <c r="C173" s="126"/>
      <c r="D173" s="126"/>
      <c r="E173" s="126"/>
      <c r="G173" s="30" t="s">
        <v>1</v>
      </c>
      <c r="H173" s="31"/>
      <c r="I173" s="32">
        <f>SUM(I169:I172)</f>
        <v>0</v>
      </c>
      <c r="J173" s="32">
        <f t="shared" ref="J173:U173" si="45">SUM(J169:J172)</f>
        <v>0</v>
      </c>
      <c r="K173" s="32">
        <f t="shared" si="45"/>
        <v>5500</v>
      </c>
      <c r="L173" s="32">
        <f t="shared" si="45"/>
        <v>0</v>
      </c>
      <c r="M173" s="32">
        <f t="shared" si="45"/>
        <v>0</v>
      </c>
      <c r="N173" s="32">
        <f t="shared" si="45"/>
        <v>5500</v>
      </c>
      <c r="O173" s="32">
        <f t="shared" si="45"/>
        <v>0</v>
      </c>
      <c r="P173" s="32">
        <f t="shared" si="45"/>
        <v>11000</v>
      </c>
      <c r="Q173" s="32">
        <f t="shared" si="45"/>
        <v>5500</v>
      </c>
      <c r="R173" s="32">
        <f t="shared" si="45"/>
        <v>0</v>
      </c>
      <c r="S173" s="32">
        <f t="shared" si="45"/>
        <v>0</v>
      </c>
      <c r="T173" s="32">
        <f t="shared" si="45"/>
        <v>5500</v>
      </c>
      <c r="U173" s="33">
        <f t="shared" si="45"/>
        <v>33000</v>
      </c>
    </row>
    <row r="174" spans="1:21" hidden="1" x14ac:dyDescent="0.3">
      <c r="A174" s="126"/>
      <c r="B174" s="126"/>
      <c r="C174" s="126"/>
      <c r="D174" s="126"/>
      <c r="E174" s="126"/>
      <c r="G174" s="26" t="s">
        <v>57</v>
      </c>
      <c r="H174" s="24"/>
      <c r="I174" s="24"/>
      <c r="J174" s="24"/>
      <c r="K174" s="24"/>
      <c r="L174" s="24"/>
      <c r="M174" s="24"/>
      <c r="N174" s="24"/>
      <c r="O174" s="24"/>
      <c r="P174" s="24"/>
      <c r="Q174" s="24"/>
      <c r="R174" s="24"/>
      <c r="S174" s="24"/>
      <c r="T174" s="24"/>
      <c r="U174" s="34"/>
    </row>
    <row r="175" spans="1:21" hidden="1" x14ac:dyDescent="0.3">
      <c r="A175" s="126"/>
      <c r="B175" s="126"/>
      <c r="C175" s="126"/>
      <c r="D175" s="126"/>
      <c r="E175" s="126"/>
      <c r="G175" s="27" t="s">
        <v>41</v>
      </c>
      <c r="H175" s="24"/>
      <c r="I175" s="28">
        <v>250</v>
      </c>
      <c r="J175" s="28">
        <v>250</v>
      </c>
      <c r="K175" s="28">
        <v>250</v>
      </c>
      <c r="L175" s="28">
        <v>250</v>
      </c>
      <c r="M175" s="28">
        <v>250</v>
      </c>
      <c r="N175" s="28">
        <v>250</v>
      </c>
      <c r="O175" s="28">
        <v>250</v>
      </c>
      <c r="P175" s="28">
        <v>250</v>
      </c>
      <c r="Q175" s="28">
        <v>250</v>
      </c>
      <c r="R175" s="28">
        <v>250</v>
      </c>
      <c r="S175" s="28">
        <v>250</v>
      </c>
      <c r="T175" s="28">
        <v>250</v>
      </c>
      <c r="U175" s="29">
        <f>SUM(I175:T175)</f>
        <v>3000</v>
      </c>
    </row>
    <row r="176" spans="1:21" hidden="1" x14ac:dyDescent="0.3">
      <c r="A176" s="126"/>
      <c r="B176" s="126"/>
      <c r="C176" s="126"/>
      <c r="D176" s="126"/>
      <c r="E176" s="126"/>
      <c r="G176" s="27" t="s">
        <v>42</v>
      </c>
      <c r="H176" s="24"/>
      <c r="I176" s="28">
        <v>300</v>
      </c>
      <c r="J176" s="28">
        <v>300</v>
      </c>
      <c r="K176" s="28">
        <v>300</v>
      </c>
      <c r="L176" s="28">
        <v>300</v>
      </c>
      <c r="M176" s="28">
        <v>300</v>
      </c>
      <c r="N176" s="28">
        <v>300</v>
      </c>
      <c r="O176" s="28">
        <v>300</v>
      </c>
      <c r="P176" s="28">
        <v>300</v>
      </c>
      <c r="Q176" s="28">
        <v>300</v>
      </c>
      <c r="R176" s="28">
        <v>300</v>
      </c>
      <c r="S176" s="28">
        <v>300</v>
      </c>
      <c r="T176" s="28">
        <v>300</v>
      </c>
      <c r="U176" s="29">
        <f t="shared" ref="U176:U181" si="46">SUM(I176:T176)</f>
        <v>3600</v>
      </c>
    </row>
    <row r="177" spans="1:21" hidden="1" x14ac:dyDescent="0.3">
      <c r="A177" s="126"/>
      <c r="B177" s="126"/>
      <c r="C177" s="126"/>
      <c r="D177" s="126"/>
      <c r="E177" s="126"/>
      <c r="G177" s="27" t="s">
        <v>43</v>
      </c>
      <c r="H177" s="24"/>
      <c r="I177" s="28">
        <v>50</v>
      </c>
      <c r="J177" s="28">
        <v>50</v>
      </c>
      <c r="K177" s="28">
        <v>50</v>
      </c>
      <c r="L177" s="28">
        <v>50</v>
      </c>
      <c r="M177" s="28">
        <v>50</v>
      </c>
      <c r="N177" s="28">
        <v>50</v>
      </c>
      <c r="O177" s="28">
        <v>50</v>
      </c>
      <c r="P177" s="28">
        <v>50</v>
      </c>
      <c r="Q177" s="28">
        <v>50</v>
      </c>
      <c r="R177" s="28">
        <v>50</v>
      </c>
      <c r="S177" s="28">
        <v>50</v>
      </c>
      <c r="T177" s="28">
        <v>50</v>
      </c>
      <c r="U177" s="29">
        <f t="shared" si="46"/>
        <v>600</v>
      </c>
    </row>
    <row r="178" spans="1:21" hidden="1" x14ac:dyDescent="0.3">
      <c r="A178" s="126"/>
      <c r="B178" s="126"/>
      <c r="C178" s="126"/>
      <c r="D178" s="126"/>
      <c r="E178" s="126"/>
      <c r="G178" s="27" t="s">
        <v>44</v>
      </c>
      <c r="H178" s="24"/>
      <c r="I178" s="28">
        <v>25</v>
      </c>
      <c r="J178" s="28">
        <v>25</v>
      </c>
      <c r="K178" s="28">
        <v>25</v>
      </c>
      <c r="L178" s="28">
        <v>25</v>
      </c>
      <c r="M178" s="28">
        <v>25</v>
      </c>
      <c r="N178" s="28">
        <v>25</v>
      </c>
      <c r="O178" s="28">
        <v>25</v>
      </c>
      <c r="P178" s="28">
        <v>25</v>
      </c>
      <c r="Q178" s="28">
        <v>25</v>
      </c>
      <c r="R178" s="28">
        <v>25</v>
      </c>
      <c r="S178" s="28">
        <v>25</v>
      </c>
      <c r="T178" s="28">
        <v>25</v>
      </c>
      <c r="U178" s="29">
        <f t="shared" si="46"/>
        <v>300</v>
      </c>
    </row>
    <row r="179" spans="1:21" hidden="1" x14ac:dyDescent="0.3">
      <c r="A179" s="126"/>
      <c r="B179" s="126"/>
      <c r="C179" s="126"/>
      <c r="D179" s="126"/>
      <c r="E179" s="126"/>
      <c r="G179" s="27" t="s">
        <v>45</v>
      </c>
      <c r="H179" s="24"/>
      <c r="I179" s="28">
        <v>350</v>
      </c>
      <c r="J179" s="28">
        <v>350</v>
      </c>
      <c r="K179" s="28">
        <v>350</v>
      </c>
      <c r="L179" s="28">
        <v>350</v>
      </c>
      <c r="M179" s="28">
        <v>350</v>
      </c>
      <c r="N179" s="28">
        <v>350</v>
      </c>
      <c r="O179" s="28">
        <v>350</v>
      </c>
      <c r="P179" s="28">
        <v>350</v>
      </c>
      <c r="Q179" s="28">
        <v>350</v>
      </c>
      <c r="R179" s="28">
        <v>350</v>
      </c>
      <c r="S179" s="28">
        <v>350</v>
      </c>
      <c r="T179" s="28">
        <v>350</v>
      </c>
      <c r="U179" s="29">
        <f t="shared" si="46"/>
        <v>4200</v>
      </c>
    </row>
    <row r="180" spans="1:21" hidden="1" x14ac:dyDescent="0.3">
      <c r="A180" s="126"/>
      <c r="B180" s="126"/>
      <c r="C180" s="126"/>
      <c r="D180" s="126"/>
      <c r="E180" s="126"/>
      <c r="G180" s="27" t="s">
        <v>46</v>
      </c>
      <c r="H180" s="24"/>
      <c r="I180" s="28">
        <v>100</v>
      </c>
      <c r="J180" s="28">
        <v>100</v>
      </c>
      <c r="K180" s="28">
        <v>1000</v>
      </c>
      <c r="L180" s="28">
        <v>100</v>
      </c>
      <c r="M180" s="28">
        <v>100</v>
      </c>
      <c r="N180" s="28">
        <v>1000</v>
      </c>
      <c r="O180" s="28">
        <v>100</v>
      </c>
      <c r="P180" s="28">
        <v>100</v>
      </c>
      <c r="Q180" s="28">
        <v>1000</v>
      </c>
      <c r="R180" s="28">
        <v>100</v>
      </c>
      <c r="S180" s="28">
        <v>100</v>
      </c>
      <c r="T180" s="28">
        <v>1000</v>
      </c>
      <c r="U180" s="29">
        <f t="shared" si="46"/>
        <v>4800</v>
      </c>
    </row>
    <row r="181" spans="1:21" hidden="1" x14ac:dyDescent="0.3">
      <c r="A181" s="126"/>
      <c r="B181" s="126"/>
      <c r="C181" s="126"/>
      <c r="D181" s="126"/>
      <c r="E181" s="126"/>
      <c r="F181" s="35">
        <v>0.25</v>
      </c>
      <c r="G181" s="36" t="str">
        <f>"Contigency"&amp;" "&amp;"at"&amp;" "&amp;(F181*100)&amp;"%"</f>
        <v>Contigency at 25%</v>
      </c>
      <c r="H181" s="37"/>
      <c r="I181" s="38">
        <f>SUM(I175:I180)*$F$40</f>
        <v>268.75</v>
      </c>
      <c r="J181" s="38">
        <f>SUM(J175:J180)*$F$40</f>
        <v>268.75</v>
      </c>
      <c r="K181" s="38">
        <f t="shared" ref="K181:T181" si="47">SUM(K175:K180)*$F$40</f>
        <v>493.75</v>
      </c>
      <c r="L181" s="38">
        <f t="shared" si="47"/>
        <v>268.75</v>
      </c>
      <c r="M181" s="38">
        <f t="shared" si="47"/>
        <v>268.75</v>
      </c>
      <c r="N181" s="38">
        <f t="shared" si="47"/>
        <v>493.75</v>
      </c>
      <c r="O181" s="38">
        <f t="shared" si="47"/>
        <v>268.75</v>
      </c>
      <c r="P181" s="38">
        <f t="shared" si="47"/>
        <v>268.75</v>
      </c>
      <c r="Q181" s="38">
        <f t="shared" si="47"/>
        <v>493.75</v>
      </c>
      <c r="R181" s="38">
        <f t="shared" si="47"/>
        <v>268.75</v>
      </c>
      <c r="S181" s="38">
        <f t="shared" si="47"/>
        <v>268.75</v>
      </c>
      <c r="T181" s="38">
        <f t="shared" si="47"/>
        <v>493.75</v>
      </c>
      <c r="U181" s="39">
        <f t="shared" si="46"/>
        <v>4125</v>
      </c>
    </row>
    <row r="182" spans="1:21" ht="15.75" hidden="1" thickBot="1" x14ac:dyDescent="0.35">
      <c r="A182" s="126"/>
      <c r="B182" s="126"/>
      <c r="C182" s="126"/>
      <c r="D182" s="126"/>
      <c r="E182" s="126"/>
      <c r="G182" s="30" t="s">
        <v>1</v>
      </c>
      <c r="H182" s="31"/>
      <c r="I182" s="32">
        <f>SUM(I175:I180)</f>
        <v>1075</v>
      </c>
      <c r="J182" s="32">
        <f t="shared" ref="J182:U182" si="48">SUM(J175:J180)</f>
        <v>1075</v>
      </c>
      <c r="K182" s="32">
        <f t="shared" si="48"/>
        <v>1975</v>
      </c>
      <c r="L182" s="32">
        <f t="shared" si="48"/>
        <v>1075</v>
      </c>
      <c r="M182" s="32">
        <f t="shared" si="48"/>
        <v>1075</v>
      </c>
      <c r="N182" s="32">
        <f t="shared" si="48"/>
        <v>1975</v>
      </c>
      <c r="O182" s="32">
        <f t="shared" si="48"/>
        <v>1075</v>
      </c>
      <c r="P182" s="32">
        <f t="shared" si="48"/>
        <v>1075</v>
      </c>
      <c r="Q182" s="32">
        <f t="shared" si="48"/>
        <v>1975</v>
      </c>
      <c r="R182" s="32">
        <f t="shared" si="48"/>
        <v>1075</v>
      </c>
      <c r="S182" s="32">
        <f t="shared" si="48"/>
        <v>1075</v>
      </c>
      <c r="T182" s="32">
        <f t="shared" si="48"/>
        <v>1975</v>
      </c>
      <c r="U182" s="33">
        <f t="shared" si="48"/>
        <v>16500</v>
      </c>
    </row>
    <row r="183" spans="1:21" hidden="1" x14ac:dyDescent="0.3">
      <c r="A183" s="126"/>
      <c r="B183" s="126"/>
      <c r="C183" s="126"/>
      <c r="D183" s="126"/>
      <c r="E183" s="126"/>
      <c r="G183" s="26" t="s">
        <v>56</v>
      </c>
      <c r="H183" s="24"/>
      <c r="I183" s="28"/>
      <c r="J183" s="28"/>
      <c r="K183" s="28"/>
      <c r="L183" s="28"/>
      <c r="M183" s="28"/>
      <c r="N183" s="28"/>
      <c r="O183" s="28"/>
      <c r="P183" s="28"/>
      <c r="Q183" s="28"/>
      <c r="R183" s="28"/>
      <c r="S183" s="28"/>
      <c r="T183" s="28"/>
      <c r="U183" s="34"/>
    </row>
    <row r="184" spans="1:21" hidden="1" x14ac:dyDescent="0.3">
      <c r="A184" s="126"/>
      <c r="B184" s="126"/>
      <c r="C184" s="126"/>
      <c r="D184" s="126"/>
      <c r="E184" s="126"/>
      <c r="G184" s="40" t="s">
        <v>52</v>
      </c>
      <c r="H184" s="24"/>
      <c r="I184" s="28"/>
      <c r="J184" s="28"/>
      <c r="K184" s="28"/>
      <c r="L184" s="28"/>
      <c r="M184" s="28"/>
      <c r="N184" s="28"/>
      <c r="O184" s="28"/>
      <c r="P184" s="28"/>
      <c r="Q184" s="28"/>
      <c r="R184" s="28"/>
      <c r="S184" s="28"/>
      <c r="T184" s="28"/>
      <c r="U184" s="41">
        <f>SUM(I184:T184)</f>
        <v>0</v>
      </c>
    </row>
    <row r="185" spans="1:21" hidden="1" x14ac:dyDescent="0.3">
      <c r="A185" s="126"/>
      <c r="B185" s="126"/>
      <c r="C185" s="126"/>
      <c r="D185" s="126"/>
      <c r="E185" s="126"/>
      <c r="G185" s="40" t="s">
        <v>46</v>
      </c>
      <c r="H185" s="24"/>
      <c r="I185" s="28"/>
      <c r="J185" s="28"/>
      <c r="K185" s="28"/>
      <c r="L185" s="28"/>
      <c r="M185" s="28"/>
      <c r="N185" s="28"/>
      <c r="O185" s="28"/>
      <c r="P185" s="28"/>
      <c r="Q185" s="28"/>
      <c r="R185" s="28"/>
      <c r="S185" s="28"/>
      <c r="T185" s="28"/>
      <c r="U185" s="41">
        <f>SUM(I185:T185)</f>
        <v>0</v>
      </c>
    </row>
    <row r="186" spans="1:21" hidden="1" x14ac:dyDescent="0.3">
      <c r="A186" s="126"/>
      <c r="B186" s="126"/>
      <c r="C186" s="126"/>
      <c r="D186" s="126"/>
      <c r="E186" s="126"/>
      <c r="F186" s="35">
        <v>0.1</v>
      </c>
      <c r="G186" s="36" t="str">
        <f>"Contigency"&amp;" "&amp;"at"&amp;" "&amp;(F186*100)&amp;"%"</f>
        <v>Contigency at 10%</v>
      </c>
      <c r="H186" s="24"/>
      <c r="I186" s="28">
        <f>SUM(I184:I185)*$F$50</f>
        <v>0</v>
      </c>
      <c r="J186" s="28">
        <f>SUM(J184:J185)*$F$50</f>
        <v>0</v>
      </c>
      <c r="K186" s="28">
        <f t="shared" ref="K186:T186" si="49">SUM(K184:K185)*$F$50</f>
        <v>0</v>
      </c>
      <c r="L186" s="28">
        <f t="shared" si="49"/>
        <v>0</v>
      </c>
      <c r="M186" s="28">
        <f t="shared" si="49"/>
        <v>0</v>
      </c>
      <c r="N186" s="28">
        <f t="shared" si="49"/>
        <v>0</v>
      </c>
      <c r="O186" s="28">
        <f t="shared" si="49"/>
        <v>0</v>
      </c>
      <c r="P186" s="28">
        <f t="shared" si="49"/>
        <v>0</v>
      </c>
      <c r="Q186" s="28">
        <f t="shared" si="49"/>
        <v>0</v>
      </c>
      <c r="R186" s="28">
        <f t="shared" si="49"/>
        <v>0</v>
      </c>
      <c r="S186" s="28">
        <f t="shared" si="49"/>
        <v>0</v>
      </c>
      <c r="T186" s="28">
        <f t="shared" si="49"/>
        <v>0</v>
      </c>
      <c r="U186" s="41">
        <f>SUM(I186:T186)</f>
        <v>0</v>
      </c>
    </row>
    <row r="187" spans="1:21" ht="15.75" hidden="1" thickBot="1" x14ac:dyDescent="0.35">
      <c r="A187" s="126"/>
      <c r="B187" s="126"/>
      <c r="C187" s="126"/>
      <c r="D187" s="126"/>
      <c r="E187" s="126"/>
      <c r="G187" s="30" t="s">
        <v>1</v>
      </c>
      <c r="H187" s="31"/>
      <c r="I187" s="32">
        <f t="shared" ref="I187:U187" si="50">SUM(I181:I185)</f>
        <v>1343.75</v>
      </c>
      <c r="J187" s="32">
        <f t="shared" si="50"/>
        <v>1343.75</v>
      </c>
      <c r="K187" s="32">
        <f t="shared" si="50"/>
        <v>2468.75</v>
      </c>
      <c r="L187" s="32">
        <f t="shared" si="50"/>
        <v>1343.75</v>
      </c>
      <c r="M187" s="32">
        <f t="shared" si="50"/>
        <v>1343.75</v>
      </c>
      <c r="N187" s="32">
        <f t="shared" si="50"/>
        <v>2468.75</v>
      </c>
      <c r="O187" s="32">
        <f t="shared" si="50"/>
        <v>1343.75</v>
      </c>
      <c r="P187" s="32">
        <f t="shared" si="50"/>
        <v>1343.75</v>
      </c>
      <c r="Q187" s="32">
        <f t="shared" si="50"/>
        <v>2468.75</v>
      </c>
      <c r="R187" s="32">
        <f t="shared" si="50"/>
        <v>1343.75</v>
      </c>
      <c r="S187" s="32">
        <f t="shared" si="50"/>
        <v>1343.75</v>
      </c>
      <c r="T187" s="32">
        <f t="shared" si="50"/>
        <v>2468.75</v>
      </c>
      <c r="U187" s="33">
        <f t="shared" si="50"/>
        <v>20625</v>
      </c>
    </row>
    <row r="188" spans="1:21" hidden="1" x14ac:dyDescent="0.3">
      <c r="A188" s="126"/>
      <c r="B188" s="126"/>
      <c r="C188" s="126"/>
      <c r="D188" s="126"/>
      <c r="E188" s="126"/>
      <c r="G188" s="26" t="s">
        <v>58</v>
      </c>
      <c r="H188" s="24"/>
      <c r="I188" s="24"/>
      <c r="J188" s="24"/>
      <c r="K188" s="24"/>
      <c r="L188" s="24"/>
      <c r="M188" s="24"/>
      <c r="N188" s="24"/>
      <c r="O188" s="24"/>
      <c r="P188" s="24"/>
      <c r="Q188" s="24"/>
      <c r="R188" s="24"/>
      <c r="S188" s="24"/>
      <c r="T188" s="24"/>
      <c r="U188" s="34"/>
    </row>
    <row r="189" spans="1:21" hidden="1" x14ac:dyDescent="0.3">
      <c r="A189" s="126"/>
      <c r="B189" s="126"/>
      <c r="C189" s="126"/>
      <c r="D189" s="126"/>
      <c r="E189" s="126"/>
      <c r="G189" s="27" t="s">
        <v>47</v>
      </c>
      <c r="H189" s="24"/>
      <c r="I189" s="28"/>
      <c r="J189" s="28"/>
      <c r="K189" s="28"/>
      <c r="L189" s="28"/>
      <c r="M189" s="28"/>
      <c r="N189" s="28"/>
      <c r="O189" s="28"/>
      <c r="P189" s="28"/>
      <c r="Q189" s="28"/>
      <c r="R189" s="28"/>
      <c r="S189" s="28"/>
      <c r="T189" s="28"/>
      <c r="U189" s="29"/>
    </row>
    <row r="190" spans="1:21" hidden="1" x14ac:dyDescent="0.3">
      <c r="A190" s="126"/>
      <c r="B190" s="126"/>
      <c r="C190" s="126"/>
      <c r="D190" s="126"/>
      <c r="E190" s="126"/>
      <c r="G190" s="27" t="s">
        <v>30</v>
      </c>
      <c r="H190" s="24"/>
      <c r="I190" s="28">
        <f>INDEX('Travel Budget'!$K$20:$K$31,MATCH('2022 Budget Expenses Model'!I$6,'Travel Budget'!$E$20:$E$31,0))</f>
        <v>0</v>
      </c>
      <c r="J190" s="28">
        <f>INDEX('Travel Budget'!$K$20:$K$31,MATCH('2022 Budget Expenses Model'!J$6,'Travel Budget'!$E$20:$E$31,0))</f>
        <v>7080</v>
      </c>
      <c r="K190" s="28">
        <f>INDEX('Travel Budget'!$K$20:$K$31,MATCH('2022 Budget Expenses Model'!K$6,'Travel Budget'!$E$20:$E$31,0))</f>
        <v>0</v>
      </c>
      <c r="L190" s="28">
        <f>INDEX('Travel Budget'!$K$20:$K$31,MATCH('2022 Budget Expenses Model'!L$6,'Travel Budget'!$E$20:$E$31,0))</f>
        <v>0</v>
      </c>
      <c r="M190" s="28">
        <f>INDEX('Travel Budget'!$K$20:$K$31,MATCH('2022 Budget Expenses Model'!M$6,'Travel Budget'!$E$20:$E$31,0))</f>
        <v>0</v>
      </c>
      <c r="N190" s="28">
        <f>INDEX('Travel Budget'!$K$20:$K$31,MATCH('2022 Budget Expenses Model'!N$6,'Travel Budget'!$E$20:$E$31,0))</f>
        <v>0</v>
      </c>
      <c r="O190" s="28">
        <f>INDEX('Travel Budget'!$K$20:$K$31,MATCH('2022 Budget Expenses Model'!O$6,'Travel Budget'!$E$20:$E$31,0))</f>
        <v>7850</v>
      </c>
      <c r="P190" s="28">
        <f>INDEX('Travel Budget'!$K$20:$K$31,MATCH('2022 Budget Expenses Model'!P$6,'Travel Budget'!$E$20:$E$31,0))</f>
        <v>0</v>
      </c>
      <c r="Q190" s="28">
        <f>INDEX('Travel Budget'!$K$20:$K$31,MATCH('2022 Budget Expenses Model'!Q$6,'Travel Budget'!$E$20:$E$31,0))</f>
        <v>7850</v>
      </c>
      <c r="R190" s="28">
        <f>INDEX('Travel Budget'!$K$20:$K$31,MATCH('2022 Budget Expenses Model'!R$6,'Travel Budget'!$E$20:$E$31,0))</f>
        <v>27190</v>
      </c>
      <c r="S190" s="28">
        <f>INDEX('Travel Budget'!$K$20:$K$31,MATCH('2022 Budget Expenses Model'!S$6,'Travel Budget'!$E$20:$E$31,0))</f>
        <v>0</v>
      </c>
      <c r="T190" s="28">
        <f>INDEX('Travel Budget'!$K$20:$K$31,MATCH('2022 Budget Expenses Model'!T$6,'Travel Budget'!$E$20:$E$31,0))</f>
        <v>0</v>
      </c>
      <c r="U190" s="29">
        <f>SUM(I190:T190)</f>
        <v>49970</v>
      </c>
    </row>
    <row r="191" spans="1:21" hidden="1" x14ac:dyDescent="0.3">
      <c r="A191" s="126"/>
      <c r="B191" s="126"/>
      <c r="C191" s="126"/>
      <c r="D191" s="126"/>
      <c r="E191" s="126"/>
      <c r="G191" s="27" t="s">
        <v>53</v>
      </c>
      <c r="H191" s="24"/>
      <c r="I191" s="28">
        <f>INDEX('Travel Budget'!$K$20:$K$31,MATCH('2022 Budget Expenses Model'!I$6,'Travel Budget'!$E$20:$E$31,0))</f>
        <v>0</v>
      </c>
      <c r="J191" s="28"/>
      <c r="K191" s="28"/>
      <c r="L191" s="28"/>
      <c r="M191" s="28"/>
      <c r="N191" s="28"/>
      <c r="O191" s="28"/>
      <c r="P191" s="28"/>
      <c r="Q191" s="28"/>
      <c r="R191" s="28"/>
      <c r="S191" s="28"/>
      <c r="T191" s="28"/>
      <c r="U191" s="29">
        <f>SUM(I191:T191)</f>
        <v>0</v>
      </c>
    </row>
    <row r="192" spans="1:21" hidden="1" x14ac:dyDescent="0.3">
      <c r="A192" s="126"/>
      <c r="B192" s="126"/>
      <c r="C192" s="126"/>
      <c r="D192" s="126"/>
      <c r="E192" s="126"/>
      <c r="G192" s="27" t="s">
        <v>54</v>
      </c>
      <c r="H192" s="24"/>
      <c r="I192" s="28">
        <v>1000</v>
      </c>
      <c r="J192" s="28"/>
      <c r="K192" s="28">
        <v>1000</v>
      </c>
      <c r="L192" s="28"/>
      <c r="M192" s="28"/>
      <c r="N192" s="28"/>
      <c r="O192" s="28"/>
      <c r="P192" s="28"/>
      <c r="Q192" s="28"/>
      <c r="R192" s="28"/>
      <c r="S192" s="28"/>
      <c r="T192" s="28"/>
      <c r="U192" s="29">
        <f>SUM(I192:T192)</f>
        <v>2000</v>
      </c>
    </row>
    <row r="193" spans="1:21" hidden="1" x14ac:dyDescent="0.3">
      <c r="A193" s="126"/>
      <c r="B193" s="126"/>
      <c r="C193" s="126"/>
      <c r="D193" s="126"/>
      <c r="E193" s="126"/>
      <c r="G193" s="27" t="s">
        <v>46</v>
      </c>
      <c r="H193" s="24"/>
      <c r="I193" s="28"/>
      <c r="J193" s="28"/>
      <c r="K193" s="28"/>
      <c r="L193" s="28"/>
      <c r="M193" s="28"/>
      <c r="N193" s="28"/>
      <c r="O193" s="28"/>
      <c r="P193" s="28"/>
      <c r="Q193" s="28"/>
      <c r="R193" s="28"/>
      <c r="S193" s="28"/>
      <c r="T193" s="28"/>
      <c r="U193" s="29">
        <f>SUM(I193:T193)</f>
        <v>0</v>
      </c>
    </row>
    <row r="194" spans="1:21" hidden="1" x14ac:dyDescent="0.3">
      <c r="A194" s="126"/>
      <c r="B194" s="126"/>
      <c r="C194" s="126"/>
      <c r="D194" s="126"/>
      <c r="E194" s="126"/>
      <c r="F194" s="35">
        <v>0.1</v>
      </c>
      <c r="G194" s="36" t="str">
        <f>"Contigency"&amp;" "&amp;"at"&amp;" "&amp;(F194*100)&amp;"%"</f>
        <v>Contigency at 10%</v>
      </c>
      <c r="H194" s="37"/>
      <c r="I194" s="38">
        <f>SUM(I189:I193)*$F$63</f>
        <v>100</v>
      </c>
      <c r="J194" s="38">
        <f>SUM(J189:J193)*$F$63</f>
        <v>708</v>
      </c>
      <c r="K194" s="38">
        <f t="shared" ref="K194:T194" si="51">SUM(K189:K193)*$F$63</f>
        <v>100</v>
      </c>
      <c r="L194" s="38">
        <f t="shared" si="51"/>
        <v>0</v>
      </c>
      <c r="M194" s="38">
        <f t="shared" si="51"/>
        <v>0</v>
      </c>
      <c r="N194" s="38">
        <f t="shared" si="51"/>
        <v>0</v>
      </c>
      <c r="O194" s="38">
        <f t="shared" si="51"/>
        <v>785</v>
      </c>
      <c r="P194" s="38">
        <f t="shared" si="51"/>
        <v>0</v>
      </c>
      <c r="Q194" s="38">
        <f t="shared" si="51"/>
        <v>785</v>
      </c>
      <c r="R194" s="38">
        <f t="shared" si="51"/>
        <v>2719</v>
      </c>
      <c r="S194" s="38">
        <f t="shared" si="51"/>
        <v>0</v>
      </c>
      <c r="T194" s="38">
        <f t="shared" si="51"/>
        <v>0</v>
      </c>
      <c r="U194" s="39">
        <f>SUM(I194:T194)</f>
        <v>5197</v>
      </c>
    </row>
    <row r="195" spans="1:21" ht="15.75" hidden="1" thickBot="1" x14ac:dyDescent="0.35">
      <c r="A195" s="126"/>
      <c r="B195" s="126"/>
      <c r="C195" s="126"/>
      <c r="D195" s="126"/>
      <c r="E195" s="126"/>
      <c r="G195" s="30" t="s">
        <v>1</v>
      </c>
      <c r="H195" s="31"/>
      <c r="I195" s="32">
        <f>SUM(I189:I194)</f>
        <v>1100</v>
      </c>
      <c r="J195" s="32">
        <f t="shared" ref="J195:T195" si="52">SUM(J189:J194)</f>
        <v>7788</v>
      </c>
      <c r="K195" s="32">
        <f t="shared" si="52"/>
        <v>1100</v>
      </c>
      <c r="L195" s="32">
        <f t="shared" si="52"/>
        <v>0</v>
      </c>
      <c r="M195" s="32">
        <f t="shared" si="52"/>
        <v>0</v>
      </c>
      <c r="N195" s="32">
        <f t="shared" si="52"/>
        <v>0</v>
      </c>
      <c r="O195" s="32">
        <f t="shared" si="52"/>
        <v>8635</v>
      </c>
      <c r="P195" s="32">
        <f t="shared" si="52"/>
        <v>0</v>
      </c>
      <c r="Q195" s="32">
        <f t="shared" si="52"/>
        <v>8635</v>
      </c>
      <c r="R195" s="32">
        <f t="shared" si="52"/>
        <v>29909</v>
      </c>
      <c r="S195" s="32">
        <f t="shared" si="52"/>
        <v>0</v>
      </c>
      <c r="T195" s="32">
        <f t="shared" si="52"/>
        <v>0</v>
      </c>
      <c r="U195" s="33">
        <f>SUM(U189:U193)</f>
        <v>51970</v>
      </c>
    </row>
    <row r="196" spans="1:21" hidden="1" x14ac:dyDescent="0.3">
      <c r="A196" s="126"/>
      <c r="B196" s="126"/>
      <c r="C196" s="126"/>
      <c r="D196" s="126"/>
      <c r="E196" s="126"/>
      <c r="G196" s="26" t="s">
        <v>55</v>
      </c>
      <c r="H196" s="24"/>
      <c r="I196" s="24"/>
      <c r="J196" s="24"/>
      <c r="K196" s="24"/>
      <c r="L196" s="24"/>
      <c r="M196" s="24"/>
      <c r="N196" s="24"/>
      <c r="O196" s="24"/>
      <c r="P196" s="24"/>
      <c r="Q196" s="24"/>
      <c r="R196" s="24"/>
      <c r="S196" s="24"/>
      <c r="T196" s="24"/>
      <c r="U196" s="34"/>
    </row>
    <row r="197" spans="1:21" hidden="1" x14ac:dyDescent="0.3">
      <c r="A197" s="126"/>
      <c r="B197" s="126"/>
      <c r="C197" s="126"/>
      <c r="D197" s="126"/>
      <c r="E197" s="126"/>
      <c r="G197" s="27" t="s">
        <v>60</v>
      </c>
      <c r="H197" s="24"/>
      <c r="I197" s="28"/>
      <c r="J197" s="28"/>
      <c r="K197" s="28"/>
      <c r="L197" s="28"/>
      <c r="M197" s="28"/>
      <c r="N197" s="28"/>
      <c r="O197" s="28"/>
      <c r="P197" s="28"/>
      <c r="Q197" s="28">
        <v>125000</v>
      </c>
      <c r="R197" s="28"/>
      <c r="S197" s="28"/>
      <c r="T197" s="28"/>
      <c r="U197" s="29">
        <f>SUM(I197:T197)</f>
        <v>125000</v>
      </c>
    </row>
    <row r="198" spans="1:21" hidden="1" x14ac:dyDescent="0.3">
      <c r="A198" s="126"/>
      <c r="B198" s="126"/>
      <c r="C198" s="126"/>
      <c r="D198" s="126"/>
      <c r="E198" s="126"/>
      <c r="G198" s="27" t="s">
        <v>61</v>
      </c>
      <c r="H198" s="24"/>
      <c r="I198" s="28"/>
      <c r="J198" s="28"/>
      <c r="K198" s="28"/>
      <c r="L198" s="28"/>
      <c r="M198" s="28"/>
      <c r="N198" s="28"/>
      <c r="O198" s="28"/>
      <c r="P198" s="28"/>
      <c r="Q198" s="28">
        <v>20000</v>
      </c>
      <c r="R198" s="28"/>
      <c r="S198" s="28"/>
      <c r="T198" s="28"/>
      <c r="U198" s="29">
        <f>SUM(I198:T198)</f>
        <v>20000</v>
      </c>
    </row>
    <row r="199" spans="1:21" hidden="1" x14ac:dyDescent="0.3">
      <c r="A199" s="126"/>
      <c r="B199" s="126"/>
      <c r="C199" s="126"/>
      <c r="D199" s="126"/>
      <c r="E199" s="126"/>
      <c r="G199" s="27" t="s">
        <v>62</v>
      </c>
      <c r="H199" s="24"/>
      <c r="I199" s="28"/>
      <c r="J199" s="28"/>
      <c r="K199" s="28"/>
      <c r="L199" s="28"/>
      <c r="M199" s="28"/>
      <c r="N199" s="28"/>
      <c r="O199" s="28"/>
      <c r="P199" s="28"/>
      <c r="Q199" s="28">
        <v>75000</v>
      </c>
      <c r="R199" s="28"/>
      <c r="S199" s="28"/>
      <c r="T199" s="28"/>
      <c r="U199" s="29">
        <f>SUM(I199:T199)</f>
        <v>75000</v>
      </c>
    </row>
    <row r="200" spans="1:21" hidden="1" x14ac:dyDescent="0.3">
      <c r="A200" s="126"/>
      <c r="B200" s="126"/>
      <c r="C200" s="126"/>
      <c r="D200" s="126"/>
      <c r="E200" s="126"/>
      <c r="G200" s="27" t="s">
        <v>46</v>
      </c>
      <c r="H200" s="24"/>
      <c r="I200" s="28"/>
      <c r="J200" s="28"/>
      <c r="K200" s="28"/>
      <c r="L200" s="28"/>
      <c r="M200" s="28"/>
      <c r="N200" s="28"/>
      <c r="O200" s="28"/>
      <c r="P200" s="28"/>
      <c r="Q200" s="28"/>
      <c r="R200" s="28"/>
      <c r="S200" s="28"/>
      <c r="T200" s="28"/>
      <c r="U200" s="29">
        <f>SUM(I200:T200)</f>
        <v>0</v>
      </c>
    </row>
    <row r="201" spans="1:21" hidden="1" x14ac:dyDescent="0.3">
      <c r="A201" s="126"/>
      <c r="B201" s="126"/>
      <c r="C201" s="126"/>
      <c r="D201" s="126"/>
      <c r="E201" s="126"/>
      <c r="F201" s="35">
        <v>0.1</v>
      </c>
      <c r="G201" s="36" t="str">
        <f>"Contigency"&amp;" "&amp;"at"&amp;" "&amp;(F201*100)&amp;"%"</f>
        <v>Contigency at 10%</v>
      </c>
      <c r="H201" s="24"/>
      <c r="I201" s="28">
        <f>SUM(I197:I200)*$F$71</f>
        <v>0</v>
      </c>
      <c r="J201" s="28">
        <f>SUM(J197:J200)*$F$71</f>
        <v>0</v>
      </c>
      <c r="K201" s="28">
        <f t="shared" ref="K201:T201" si="53">SUM(K197:K200)*$F$71</f>
        <v>0</v>
      </c>
      <c r="L201" s="28">
        <f t="shared" si="53"/>
        <v>0</v>
      </c>
      <c r="M201" s="28">
        <f t="shared" si="53"/>
        <v>0</v>
      </c>
      <c r="N201" s="28">
        <f t="shared" si="53"/>
        <v>0</v>
      </c>
      <c r="O201" s="28">
        <f t="shared" si="53"/>
        <v>0</v>
      </c>
      <c r="P201" s="28">
        <f t="shared" si="53"/>
        <v>0</v>
      </c>
      <c r="Q201" s="28">
        <f t="shared" si="53"/>
        <v>0</v>
      </c>
      <c r="R201" s="28">
        <f t="shared" si="53"/>
        <v>0</v>
      </c>
      <c r="S201" s="28">
        <f t="shared" si="53"/>
        <v>0</v>
      </c>
      <c r="T201" s="28">
        <f t="shared" si="53"/>
        <v>0</v>
      </c>
      <c r="U201" s="29">
        <f>SUM(I201:T201)</f>
        <v>0</v>
      </c>
    </row>
    <row r="202" spans="1:21" ht="15.75" hidden="1" thickBot="1" x14ac:dyDescent="0.35">
      <c r="A202" s="126"/>
      <c r="B202" s="126"/>
      <c r="C202" s="126"/>
      <c r="D202" s="126"/>
      <c r="E202" s="126"/>
      <c r="G202" s="30" t="s">
        <v>1</v>
      </c>
      <c r="H202" s="31"/>
      <c r="I202" s="32">
        <f t="shared" ref="I202:T202" si="54">SUM(I197:I201)</f>
        <v>0</v>
      </c>
      <c r="J202" s="32">
        <f t="shared" si="54"/>
        <v>0</v>
      </c>
      <c r="K202" s="32">
        <f t="shared" si="54"/>
        <v>0</v>
      </c>
      <c r="L202" s="32">
        <f t="shared" si="54"/>
        <v>0</v>
      </c>
      <c r="M202" s="32">
        <f t="shared" si="54"/>
        <v>0</v>
      </c>
      <c r="N202" s="32">
        <f t="shared" si="54"/>
        <v>0</v>
      </c>
      <c r="O202" s="32">
        <f t="shared" si="54"/>
        <v>0</v>
      </c>
      <c r="P202" s="32">
        <f t="shared" si="54"/>
        <v>0</v>
      </c>
      <c r="Q202" s="32">
        <f t="shared" si="54"/>
        <v>220000</v>
      </c>
      <c r="R202" s="32">
        <f t="shared" si="54"/>
        <v>0</v>
      </c>
      <c r="S202" s="32">
        <f t="shared" si="54"/>
        <v>0</v>
      </c>
      <c r="T202" s="32">
        <f t="shared" si="54"/>
        <v>0</v>
      </c>
      <c r="U202" s="33">
        <f>SUM(U197:U200)</f>
        <v>220000</v>
      </c>
    </row>
    <row r="203" spans="1:21" hidden="1" x14ac:dyDescent="0.3">
      <c r="A203" s="126"/>
      <c r="B203" s="126"/>
      <c r="C203" s="126"/>
      <c r="D203" s="126"/>
      <c r="E203" s="126"/>
      <c r="G203" s="42"/>
      <c r="H203" s="37"/>
      <c r="I203" s="37"/>
      <c r="J203" s="37"/>
      <c r="K203" s="37"/>
      <c r="L203" s="37"/>
      <c r="M203" s="37"/>
      <c r="N203" s="37"/>
      <c r="O203" s="37"/>
      <c r="P203" s="37"/>
      <c r="Q203" s="37"/>
      <c r="R203" s="37"/>
      <c r="S203" s="37"/>
      <c r="T203" s="37"/>
      <c r="U203" s="43"/>
    </row>
    <row r="204" spans="1:21" ht="15.75" hidden="1" thickBot="1" x14ac:dyDescent="0.35">
      <c r="A204" s="126"/>
      <c r="B204" s="126"/>
      <c r="C204" s="126"/>
      <c r="D204" s="126"/>
      <c r="E204" s="126"/>
      <c r="G204" s="134" t="s">
        <v>63</v>
      </c>
      <c r="H204" s="135"/>
      <c r="I204" s="136">
        <f t="shared" ref="I204:U204" si="55">I167+I173+I182+I186+I195+I202</f>
        <v>36641.666666666672</v>
      </c>
      <c r="J204" s="136">
        <f t="shared" si="55"/>
        <v>43329.666666666672</v>
      </c>
      <c r="K204" s="136">
        <f t="shared" si="55"/>
        <v>43041.666666666672</v>
      </c>
      <c r="L204" s="136">
        <f t="shared" si="55"/>
        <v>35541.666666666672</v>
      </c>
      <c r="M204" s="136">
        <f t="shared" si="55"/>
        <v>35541.666666666672</v>
      </c>
      <c r="N204" s="136">
        <f t="shared" si="55"/>
        <v>41941.666666666672</v>
      </c>
      <c r="O204" s="136">
        <f t="shared" si="55"/>
        <v>44176.666666666672</v>
      </c>
      <c r="P204" s="136">
        <f t="shared" si="55"/>
        <v>46541.666666666672</v>
      </c>
      <c r="Q204" s="136">
        <f t="shared" si="55"/>
        <v>270576.66666666669</v>
      </c>
      <c r="R204" s="136">
        <f t="shared" si="55"/>
        <v>65450.666666666672</v>
      </c>
      <c r="S204" s="136">
        <f t="shared" si="55"/>
        <v>35541.666666666672</v>
      </c>
      <c r="T204" s="136">
        <f t="shared" si="55"/>
        <v>41941.666666666672</v>
      </c>
      <c r="U204" s="44">
        <f t="shared" si="55"/>
        <v>735070</v>
      </c>
    </row>
    <row r="205" spans="1:21" hidden="1" x14ac:dyDescent="0.3"/>
    <row r="206" spans="1:21" hidden="1" x14ac:dyDescent="0.3"/>
    <row r="207" spans="1:21" hidden="1" x14ac:dyDescent="0.3"/>
    <row r="208" spans="1:21"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sheetData>
  <mergeCells count="1">
    <mergeCell ref="V78:Y80"/>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BD4E-3880-4C64-803E-E7C445FFD058}">
  <dimension ref="A1:N33"/>
  <sheetViews>
    <sheetView showGridLines="0" workbookViewId="0">
      <selection activeCell="A22" sqref="A22"/>
    </sheetView>
  </sheetViews>
  <sheetFormatPr defaultColWidth="8.77734375" defaultRowHeight="16.5" x14ac:dyDescent="0.3"/>
  <cols>
    <col min="1" max="1" width="34.109375" style="64" customWidth="1"/>
    <col min="2" max="2" width="14.77734375" style="64" customWidth="1"/>
    <col min="3" max="3" width="13.109375" style="64" customWidth="1"/>
    <col min="4" max="4" width="11.6640625" style="64" customWidth="1"/>
    <col min="5" max="5" width="11.77734375" style="64" customWidth="1"/>
    <col min="6" max="6" width="11.44140625" style="64" customWidth="1"/>
    <col min="7" max="7" width="11.6640625" style="64" customWidth="1"/>
    <col min="8" max="8" width="11.77734375" style="64" customWidth="1"/>
    <col min="9" max="9" width="13.109375" style="64" customWidth="1"/>
    <col min="10" max="10" width="12.33203125" style="64" customWidth="1"/>
    <col min="11" max="11" width="11.6640625" style="64" customWidth="1"/>
    <col min="12" max="12" width="11.77734375" style="64" customWidth="1"/>
    <col min="13" max="13" width="11.6640625" style="64" customWidth="1"/>
    <col min="14" max="14" width="12.77734375" style="64" customWidth="1"/>
    <col min="15" max="16384" width="8.77734375" style="64"/>
  </cols>
  <sheetData>
    <row r="1" spans="1:14" ht="20.25" customHeight="1" x14ac:dyDescent="0.3">
      <c r="A1" s="259" t="s">
        <v>51</v>
      </c>
      <c r="B1" s="259"/>
      <c r="C1" s="259"/>
      <c r="D1" s="259"/>
      <c r="E1" s="259"/>
      <c r="F1" s="259"/>
      <c r="G1" s="259"/>
      <c r="H1" s="259"/>
      <c r="I1" s="259"/>
      <c r="J1" s="259"/>
      <c r="K1" s="259"/>
      <c r="L1" s="259"/>
      <c r="M1" s="259"/>
      <c r="N1" s="259"/>
    </row>
    <row r="2" spans="1:14" x14ac:dyDescent="0.3">
      <c r="A2" s="115"/>
      <c r="B2" s="116" t="s">
        <v>0</v>
      </c>
      <c r="C2" s="116" t="s">
        <v>0</v>
      </c>
      <c r="D2" s="116" t="s">
        <v>0</v>
      </c>
      <c r="E2" s="116" t="s">
        <v>0</v>
      </c>
      <c r="F2" s="116" t="s">
        <v>0</v>
      </c>
      <c r="G2" s="116" t="s">
        <v>0</v>
      </c>
      <c r="H2" s="116" t="s">
        <v>0</v>
      </c>
      <c r="I2" s="116" t="s">
        <v>0</v>
      </c>
      <c r="J2" s="116" t="s">
        <v>0</v>
      </c>
      <c r="K2" s="116" t="s">
        <v>0</v>
      </c>
      <c r="L2" s="116" t="s">
        <v>0</v>
      </c>
      <c r="M2" s="116" t="s">
        <v>0</v>
      </c>
      <c r="N2" s="116" t="s">
        <v>0</v>
      </c>
    </row>
    <row r="3" spans="1:14" x14ac:dyDescent="0.3">
      <c r="A3" s="115"/>
      <c r="B3" s="116"/>
      <c r="C3" s="116"/>
      <c r="D3" s="116"/>
      <c r="E3" s="116"/>
      <c r="F3" s="116"/>
      <c r="G3" s="116"/>
      <c r="H3" s="116"/>
      <c r="I3" s="116"/>
      <c r="J3" s="116"/>
      <c r="K3" s="116"/>
      <c r="L3" s="116"/>
      <c r="M3" s="116"/>
      <c r="N3" s="116" t="s">
        <v>1</v>
      </c>
    </row>
    <row r="4" spans="1:14" x14ac:dyDescent="0.3">
      <c r="A4" s="115" t="s">
        <v>2</v>
      </c>
      <c r="B4" s="116" t="s">
        <v>3</v>
      </c>
      <c r="C4" s="116" t="s">
        <v>4</v>
      </c>
      <c r="D4" s="116" t="s">
        <v>5</v>
      </c>
      <c r="E4" s="116" t="s">
        <v>6</v>
      </c>
      <c r="F4" s="116" t="s">
        <v>7</v>
      </c>
      <c r="G4" s="116" t="s">
        <v>8</v>
      </c>
      <c r="H4" s="116" t="s">
        <v>9</v>
      </c>
      <c r="I4" s="116" t="s">
        <v>10</v>
      </c>
      <c r="J4" s="116" t="s">
        <v>11</v>
      </c>
      <c r="K4" s="116" t="s">
        <v>12</v>
      </c>
      <c r="L4" s="116" t="s">
        <v>13</v>
      </c>
      <c r="M4" s="116" t="s">
        <v>14</v>
      </c>
      <c r="N4" s="116" t="s">
        <v>15</v>
      </c>
    </row>
    <row r="5" spans="1:14" x14ac:dyDescent="0.3">
      <c r="A5" s="65"/>
      <c r="B5" s="66"/>
      <c r="C5" s="66"/>
      <c r="D5" s="66"/>
      <c r="E5" s="66"/>
      <c r="F5" s="66"/>
      <c r="G5" s="66"/>
      <c r="H5" s="66"/>
      <c r="I5" s="66"/>
      <c r="J5" s="66"/>
      <c r="K5" s="66"/>
      <c r="L5" s="66"/>
      <c r="M5" s="66"/>
      <c r="N5" s="67"/>
    </row>
    <row r="6" spans="1:14" x14ac:dyDescent="0.3">
      <c r="A6" s="68" t="s">
        <v>114</v>
      </c>
      <c r="B6" s="67"/>
      <c r="C6" s="67"/>
      <c r="D6" s="67"/>
      <c r="E6" s="67"/>
      <c r="F6" s="67"/>
      <c r="G6" s="67"/>
      <c r="H6" s="67"/>
      <c r="I6" s="67"/>
      <c r="J6" s="67"/>
      <c r="K6" s="67"/>
      <c r="L6" s="67"/>
      <c r="M6" s="67"/>
      <c r="N6" s="67"/>
    </row>
    <row r="7" spans="1:14" x14ac:dyDescent="0.3">
      <c r="A7" s="69" t="s">
        <v>101</v>
      </c>
      <c r="B7" s="70">
        <v>2000000</v>
      </c>
      <c r="C7" s="70">
        <v>2000000</v>
      </c>
      <c r="D7" s="70">
        <v>2000000</v>
      </c>
      <c r="E7" s="70">
        <v>2000000</v>
      </c>
      <c r="F7" s="70">
        <v>2000000</v>
      </c>
      <c r="G7" s="70">
        <v>2000000</v>
      </c>
      <c r="H7" s="70">
        <v>2000000</v>
      </c>
      <c r="I7" s="70">
        <v>2000000</v>
      </c>
      <c r="J7" s="70">
        <v>2000000</v>
      </c>
      <c r="K7" s="70">
        <v>2000000</v>
      </c>
      <c r="L7" s="70">
        <v>2000000</v>
      </c>
      <c r="M7" s="70">
        <v>2000000</v>
      </c>
      <c r="N7" s="67">
        <f>SUM(B7:M7)</f>
        <v>24000000</v>
      </c>
    </row>
    <row r="8" spans="1:14" x14ac:dyDescent="0.3">
      <c r="A8" s="69" t="s">
        <v>16</v>
      </c>
      <c r="B8" s="70">
        <v>750000</v>
      </c>
      <c r="C8" s="70">
        <v>750000</v>
      </c>
      <c r="D8" s="70">
        <v>750000</v>
      </c>
      <c r="E8" s="70">
        <v>750000</v>
      </c>
      <c r="F8" s="70">
        <v>750000</v>
      </c>
      <c r="G8" s="70">
        <v>750000</v>
      </c>
      <c r="H8" s="70">
        <v>750000</v>
      </c>
      <c r="I8" s="70">
        <v>750000</v>
      </c>
      <c r="J8" s="70">
        <v>750000</v>
      </c>
      <c r="K8" s="70">
        <v>750000</v>
      </c>
      <c r="L8" s="70">
        <v>750000</v>
      </c>
      <c r="M8" s="70">
        <v>750000</v>
      </c>
      <c r="N8" s="67">
        <f>SUM(B8:M8)</f>
        <v>9000000</v>
      </c>
    </row>
    <row r="9" spans="1:14" x14ac:dyDescent="0.3">
      <c r="A9" s="69" t="s">
        <v>17</v>
      </c>
      <c r="B9" s="70">
        <v>300000</v>
      </c>
      <c r="C9" s="70">
        <v>300000</v>
      </c>
      <c r="D9" s="70">
        <v>300000</v>
      </c>
      <c r="E9" s="70">
        <v>300000</v>
      </c>
      <c r="F9" s="70">
        <v>300000</v>
      </c>
      <c r="G9" s="70">
        <v>300000</v>
      </c>
      <c r="H9" s="70">
        <v>300000</v>
      </c>
      <c r="I9" s="70">
        <v>300000</v>
      </c>
      <c r="J9" s="70">
        <v>300000</v>
      </c>
      <c r="K9" s="70">
        <v>300000</v>
      </c>
      <c r="L9" s="70">
        <v>300000</v>
      </c>
      <c r="M9" s="70">
        <v>300000</v>
      </c>
      <c r="N9" s="67">
        <f>SUM(B9:M9)</f>
        <v>3600000</v>
      </c>
    </row>
    <row r="10" spans="1:14" x14ac:dyDescent="0.3">
      <c r="A10" s="69" t="s">
        <v>18</v>
      </c>
      <c r="B10" s="70">
        <v>500000</v>
      </c>
      <c r="C10" s="70">
        <v>500000</v>
      </c>
      <c r="D10" s="70">
        <v>500000</v>
      </c>
      <c r="E10" s="70">
        <v>500000</v>
      </c>
      <c r="F10" s="70">
        <v>500000</v>
      </c>
      <c r="G10" s="70">
        <v>500000</v>
      </c>
      <c r="H10" s="70">
        <v>500000</v>
      </c>
      <c r="I10" s="70">
        <v>500000</v>
      </c>
      <c r="J10" s="70">
        <v>500000</v>
      </c>
      <c r="K10" s="70">
        <v>500000</v>
      </c>
      <c r="L10" s="70">
        <v>500000</v>
      </c>
      <c r="M10" s="70">
        <v>500000</v>
      </c>
      <c r="N10" s="67">
        <f>SUM(B10:M10)</f>
        <v>6000000</v>
      </c>
    </row>
    <row r="11" spans="1:14" x14ac:dyDescent="0.3">
      <c r="A11" s="71" t="s">
        <v>1</v>
      </c>
      <c r="B11" s="72">
        <f>SUM(B7:B10)</f>
        <v>3550000</v>
      </c>
      <c r="C11" s="72">
        <f t="shared" ref="C11:N11" si="0">SUM(C7:C10)</f>
        <v>3550000</v>
      </c>
      <c r="D11" s="72">
        <f t="shared" si="0"/>
        <v>3550000</v>
      </c>
      <c r="E11" s="72">
        <f t="shared" si="0"/>
        <v>3550000</v>
      </c>
      <c r="F11" s="72">
        <f t="shared" si="0"/>
        <v>3550000</v>
      </c>
      <c r="G11" s="72">
        <f t="shared" si="0"/>
        <v>3550000</v>
      </c>
      <c r="H11" s="72">
        <f t="shared" si="0"/>
        <v>3550000</v>
      </c>
      <c r="I11" s="72">
        <f t="shared" si="0"/>
        <v>3550000</v>
      </c>
      <c r="J11" s="72">
        <f t="shared" si="0"/>
        <v>3550000</v>
      </c>
      <c r="K11" s="72">
        <f t="shared" si="0"/>
        <v>3550000</v>
      </c>
      <c r="L11" s="72">
        <f t="shared" si="0"/>
        <v>3550000</v>
      </c>
      <c r="M11" s="72">
        <f t="shared" si="0"/>
        <v>3550000</v>
      </c>
      <c r="N11" s="72">
        <f t="shared" si="0"/>
        <v>42600000</v>
      </c>
    </row>
    <row r="12" spans="1:14" x14ac:dyDescent="0.3">
      <c r="A12" s="73" t="s">
        <v>103</v>
      </c>
      <c r="B12" s="67"/>
      <c r="C12" s="67"/>
      <c r="D12" s="67"/>
      <c r="E12" s="67"/>
      <c r="F12" s="67"/>
      <c r="G12" s="67"/>
      <c r="H12" s="67"/>
      <c r="I12" s="67"/>
      <c r="J12" s="67"/>
      <c r="K12" s="67"/>
      <c r="L12" s="67"/>
      <c r="M12" s="67"/>
      <c r="N12" s="67"/>
    </row>
    <row r="13" spans="1:14" x14ac:dyDescent="0.3">
      <c r="A13" s="69" t="s">
        <v>29</v>
      </c>
      <c r="B13" s="70">
        <v>-250000</v>
      </c>
      <c r="C13" s="70">
        <v>-250000</v>
      </c>
      <c r="D13" s="70">
        <v>-250000</v>
      </c>
      <c r="E13" s="70">
        <v>-250000</v>
      </c>
      <c r="F13" s="70">
        <v>-250000</v>
      </c>
      <c r="G13" s="70">
        <v>-250000</v>
      </c>
      <c r="H13" s="70">
        <v>-250000</v>
      </c>
      <c r="I13" s="70">
        <v>-250000</v>
      </c>
      <c r="J13" s="70">
        <v>-250000</v>
      </c>
      <c r="K13" s="70">
        <v>-250000</v>
      </c>
      <c r="L13" s="70">
        <v>-250000</v>
      </c>
      <c r="M13" s="70">
        <v>-250000</v>
      </c>
      <c r="N13" s="67">
        <f t="shared" ref="N13:N19" si="1">SUM(B13:M13)</f>
        <v>-3000000</v>
      </c>
    </row>
    <row r="14" spans="1:14" x14ac:dyDescent="0.3">
      <c r="A14" s="69" t="s">
        <v>56</v>
      </c>
      <c r="B14" s="70">
        <v>-250000</v>
      </c>
      <c r="C14" s="70">
        <v>-250000</v>
      </c>
      <c r="D14" s="70">
        <v>-250000</v>
      </c>
      <c r="E14" s="70">
        <v>-250000</v>
      </c>
      <c r="F14" s="70">
        <v>-250000</v>
      </c>
      <c r="G14" s="70">
        <v>-250000</v>
      </c>
      <c r="H14" s="70">
        <v>-250000</v>
      </c>
      <c r="I14" s="70">
        <v>-250000</v>
      </c>
      <c r="J14" s="70">
        <v>-250000</v>
      </c>
      <c r="K14" s="70">
        <v>-250000</v>
      </c>
      <c r="L14" s="70">
        <v>-250000</v>
      </c>
      <c r="M14" s="70">
        <v>-250000</v>
      </c>
      <c r="N14" s="67">
        <f t="shared" si="1"/>
        <v>-3000000</v>
      </c>
    </row>
    <row r="15" spans="1:14" x14ac:dyDescent="0.3">
      <c r="A15" s="69" t="s">
        <v>58</v>
      </c>
      <c r="B15" s="70">
        <v>-250000</v>
      </c>
      <c r="C15" s="70">
        <v>-250000</v>
      </c>
      <c r="D15" s="70">
        <v>-250000</v>
      </c>
      <c r="E15" s="70">
        <v>-250000</v>
      </c>
      <c r="F15" s="70">
        <v>-250000</v>
      </c>
      <c r="G15" s="70">
        <v>-250000</v>
      </c>
      <c r="H15" s="70">
        <v>-250000</v>
      </c>
      <c r="I15" s="70">
        <v>-250000</v>
      </c>
      <c r="J15" s="70">
        <v>-250000</v>
      </c>
      <c r="K15" s="70">
        <v>-250000</v>
      </c>
      <c r="L15" s="70">
        <v>-250000</v>
      </c>
      <c r="M15" s="70">
        <v>-250000</v>
      </c>
      <c r="N15" s="67">
        <f t="shared" si="1"/>
        <v>-3000000</v>
      </c>
    </row>
    <row r="16" spans="1:14" x14ac:dyDescent="0.3">
      <c r="A16" s="69" t="s">
        <v>55</v>
      </c>
      <c r="B16" s="70">
        <v>-250000</v>
      </c>
      <c r="C16" s="70">
        <v>-250000</v>
      </c>
      <c r="D16" s="70">
        <v>-250000</v>
      </c>
      <c r="E16" s="70">
        <v>-250000</v>
      </c>
      <c r="F16" s="70">
        <v>-250000</v>
      </c>
      <c r="G16" s="70">
        <v>-250000</v>
      </c>
      <c r="H16" s="70">
        <v>-250000</v>
      </c>
      <c r="I16" s="70">
        <v>-250000</v>
      </c>
      <c r="J16" s="70">
        <v>-250000</v>
      </c>
      <c r="K16" s="70">
        <v>-250000</v>
      </c>
      <c r="L16" s="70">
        <v>-250000</v>
      </c>
      <c r="M16" s="70">
        <v>-250000</v>
      </c>
      <c r="N16" s="67">
        <f t="shared" si="1"/>
        <v>-3000000</v>
      </c>
    </row>
    <row r="17" spans="1:14" x14ac:dyDescent="0.3">
      <c r="A17" s="69" t="s">
        <v>31</v>
      </c>
      <c r="B17" s="70">
        <v>-250000</v>
      </c>
      <c r="C17" s="70">
        <v>-250000</v>
      </c>
      <c r="D17" s="70">
        <v>-250000</v>
      </c>
      <c r="E17" s="70">
        <v>-250000</v>
      </c>
      <c r="F17" s="70">
        <v>-250000</v>
      </c>
      <c r="G17" s="70">
        <v>-250000</v>
      </c>
      <c r="H17" s="70">
        <v>-250000</v>
      </c>
      <c r="I17" s="70">
        <v>-250000</v>
      </c>
      <c r="J17" s="70">
        <v>-250000</v>
      </c>
      <c r="K17" s="70">
        <v>-250000</v>
      </c>
      <c r="L17" s="70">
        <v>-250000</v>
      </c>
      <c r="M17" s="70">
        <v>-250000</v>
      </c>
      <c r="N17" s="67">
        <f t="shared" si="1"/>
        <v>-3000000</v>
      </c>
    </row>
    <row r="18" spans="1:14" x14ac:dyDescent="0.3">
      <c r="A18" s="69" t="s">
        <v>57</v>
      </c>
      <c r="B18" s="70">
        <v>-250000</v>
      </c>
      <c r="C18" s="70">
        <v>-250000</v>
      </c>
      <c r="D18" s="70">
        <v>-250000</v>
      </c>
      <c r="E18" s="70">
        <v>-250000</v>
      </c>
      <c r="F18" s="70">
        <v>-250000</v>
      </c>
      <c r="G18" s="70">
        <v>-250000</v>
      </c>
      <c r="H18" s="70">
        <v>-250000</v>
      </c>
      <c r="I18" s="70">
        <v>-250000</v>
      </c>
      <c r="J18" s="70">
        <v>-250000</v>
      </c>
      <c r="K18" s="70">
        <v>-250000</v>
      </c>
      <c r="L18" s="70">
        <v>-250000</v>
      </c>
      <c r="M18" s="70">
        <v>-250000</v>
      </c>
      <c r="N18" s="67">
        <f t="shared" si="1"/>
        <v>-3000000</v>
      </c>
    </row>
    <row r="19" spans="1:14" x14ac:dyDescent="0.3">
      <c r="A19" s="69"/>
      <c r="B19" s="70">
        <v>-250000</v>
      </c>
      <c r="C19" s="70">
        <v>-250000</v>
      </c>
      <c r="D19" s="70">
        <v>-250000</v>
      </c>
      <c r="E19" s="70">
        <v>-250000</v>
      </c>
      <c r="F19" s="70">
        <v>-250000</v>
      </c>
      <c r="G19" s="70">
        <v>-250000</v>
      </c>
      <c r="H19" s="70">
        <v>-250000</v>
      </c>
      <c r="I19" s="70">
        <v>-250000</v>
      </c>
      <c r="J19" s="70">
        <v>-250000</v>
      </c>
      <c r="K19" s="70">
        <v>-250000</v>
      </c>
      <c r="L19" s="70">
        <v>-250000</v>
      </c>
      <c r="M19" s="70">
        <v>-250000</v>
      </c>
      <c r="N19" s="67">
        <f t="shared" si="1"/>
        <v>-3000000</v>
      </c>
    </row>
    <row r="20" spans="1:14" x14ac:dyDescent="0.3">
      <c r="A20" s="71" t="s">
        <v>1</v>
      </c>
      <c r="B20" s="74">
        <f t="shared" ref="B20:N20" si="2">SUM(B13:B19)</f>
        <v>-1750000</v>
      </c>
      <c r="C20" s="74">
        <f t="shared" si="2"/>
        <v>-1750000</v>
      </c>
      <c r="D20" s="74">
        <f t="shared" si="2"/>
        <v>-1750000</v>
      </c>
      <c r="E20" s="74">
        <f t="shared" si="2"/>
        <v>-1750000</v>
      </c>
      <c r="F20" s="74">
        <f t="shared" si="2"/>
        <v>-1750000</v>
      </c>
      <c r="G20" s="74">
        <f t="shared" si="2"/>
        <v>-1750000</v>
      </c>
      <c r="H20" s="74">
        <f t="shared" si="2"/>
        <v>-1750000</v>
      </c>
      <c r="I20" s="74">
        <f t="shared" si="2"/>
        <v>-1750000</v>
      </c>
      <c r="J20" s="74">
        <f t="shared" si="2"/>
        <v>-1750000</v>
      </c>
      <c r="K20" s="74">
        <f t="shared" si="2"/>
        <v>-1750000</v>
      </c>
      <c r="L20" s="74">
        <f t="shared" si="2"/>
        <v>-1750000</v>
      </c>
      <c r="M20" s="74">
        <f t="shared" si="2"/>
        <v>-1750000</v>
      </c>
      <c r="N20" s="74">
        <f t="shared" si="2"/>
        <v>-21000000</v>
      </c>
    </row>
    <row r="21" spans="1:14" x14ac:dyDescent="0.3">
      <c r="A21" s="117" t="s">
        <v>89</v>
      </c>
      <c r="B21" s="119">
        <f t="shared" ref="B21:N21" si="3">B11+B20</f>
        <v>1800000</v>
      </c>
      <c r="C21" s="119">
        <f t="shared" si="3"/>
        <v>1800000</v>
      </c>
      <c r="D21" s="119">
        <f t="shared" si="3"/>
        <v>1800000</v>
      </c>
      <c r="E21" s="119">
        <f t="shared" si="3"/>
        <v>1800000</v>
      </c>
      <c r="F21" s="119">
        <f t="shared" si="3"/>
        <v>1800000</v>
      </c>
      <c r="G21" s="119">
        <f t="shared" si="3"/>
        <v>1800000</v>
      </c>
      <c r="H21" s="119">
        <f t="shared" si="3"/>
        <v>1800000</v>
      </c>
      <c r="I21" s="119">
        <f t="shared" si="3"/>
        <v>1800000</v>
      </c>
      <c r="J21" s="119">
        <f t="shared" si="3"/>
        <v>1800000</v>
      </c>
      <c r="K21" s="119">
        <f t="shared" si="3"/>
        <v>1800000</v>
      </c>
      <c r="L21" s="119">
        <f t="shared" si="3"/>
        <v>1800000</v>
      </c>
      <c r="M21" s="119">
        <f t="shared" si="3"/>
        <v>1800000</v>
      </c>
      <c r="N21" s="119">
        <f t="shared" si="3"/>
        <v>21600000</v>
      </c>
    </row>
    <row r="22" spans="1:14" x14ac:dyDescent="0.3">
      <c r="A22" s="69"/>
      <c r="B22" s="67"/>
      <c r="C22" s="67"/>
      <c r="D22" s="67"/>
      <c r="E22" s="67"/>
      <c r="F22" s="67"/>
      <c r="G22" s="67" t="s">
        <v>19</v>
      </c>
      <c r="H22" s="67"/>
      <c r="I22" s="67"/>
      <c r="J22" s="67"/>
      <c r="K22" s="67"/>
      <c r="L22" s="67"/>
      <c r="M22" s="67"/>
      <c r="N22" s="67"/>
    </row>
    <row r="23" spans="1:14" x14ac:dyDescent="0.3">
      <c r="A23" s="73" t="s">
        <v>20</v>
      </c>
      <c r="B23" s="67"/>
      <c r="C23" s="67"/>
      <c r="D23" s="67"/>
      <c r="E23" s="67"/>
      <c r="F23" s="67"/>
      <c r="G23" s="67"/>
      <c r="H23" s="67"/>
      <c r="I23" s="67"/>
      <c r="J23" s="67"/>
      <c r="K23" s="67"/>
      <c r="L23" s="67"/>
      <c r="M23" s="67"/>
      <c r="N23" s="67"/>
    </row>
    <row r="24" spans="1:14" x14ac:dyDescent="0.3">
      <c r="A24" s="69" t="s">
        <v>21</v>
      </c>
      <c r="B24" s="70">
        <v>-200000</v>
      </c>
      <c r="C24" s="70">
        <v>-200000</v>
      </c>
      <c r="D24" s="70">
        <v>-200000</v>
      </c>
      <c r="E24" s="70">
        <v>-200000</v>
      </c>
      <c r="F24" s="70">
        <v>-200000</v>
      </c>
      <c r="G24" s="70">
        <v>-200000</v>
      </c>
      <c r="H24" s="70">
        <v>-200000</v>
      </c>
      <c r="I24" s="70">
        <v>-200000</v>
      </c>
      <c r="J24" s="70">
        <v>-200000</v>
      </c>
      <c r="K24" s="70">
        <v>-200000</v>
      </c>
      <c r="L24" s="70">
        <v>-200000</v>
      </c>
      <c r="M24" s="70">
        <v>-200000</v>
      </c>
      <c r="N24" s="67">
        <f>SUM(B24:M24)</f>
        <v>-2400000</v>
      </c>
    </row>
    <row r="25" spans="1:14" x14ac:dyDescent="0.3">
      <c r="A25" s="69" t="s">
        <v>22</v>
      </c>
      <c r="B25" s="70">
        <v>-200000</v>
      </c>
      <c r="C25" s="70">
        <v>-200000</v>
      </c>
      <c r="D25" s="70">
        <v>-200000</v>
      </c>
      <c r="E25" s="70">
        <v>-200000</v>
      </c>
      <c r="F25" s="70">
        <v>-200000</v>
      </c>
      <c r="G25" s="70">
        <v>-200000</v>
      </c>
      <c r="H25" s="70">
        <v>-200000</v>
      </c>
      <c r="I25" s="70">
        <v>-200000</v>
      </c>
      <c r="J25" s="70">
        <v>-200000</v>
      </c>
      <c r="K25" s="70">
        <v>-200000</v>
      </c>
      <c r="L25" s="70">
        <v>-200000</v>
      </c>
      <c r="M25" s="70">
        <v>-200000</v>
      </c>
      <c r="N25" s="67">
        <f>SUM(B25:M25)</f>
        <v>-2400000</v>
      </c>
    </row>
    <row r="26" spans="1:14" x14ac:dyDescent="0.3">
      <c r="A26" s="117" t="s">
        <v>23</v>
      </c>
      <c r="B26" s="119">
        <f t="shared" ref="B26:N26" si="4">SUM(B24:B25)</f>
        <v>-400000</v>
      </c>
      <c r="C26" s="119">
        <f t="shared" si="4"/>
        <v>-400000</v>
      </c>
      <c r="D26" s="119">
        <f t="shared" si="4"/>
        <v>-400000</v>
      </c>
      <c r="E26" s="119">
        <f t="shared" si="4"/>
        <v>-400000</v>
      </c>
      <c r="F26" s="119">
        <f t="shared" si="4"/>
        <v>-400000</v>
      </c>
      <c r="G26" s="119">
        <f t="shared" si="4"/>
        <v>-400000</v>
      </c>
      <c r="H26" s="119">
        <f t="shared" si="4"/>
        <v>-400000</v>
      </c>
      <c r="I26" s="119">
        <f t="shared" si="4"/>
        <v>-400000</v>
      </c>
      <c r="J26" s="119">
        <f t="shared" si="4"/>
        <v>-400000</v>
      </c>
      <c r="K26" s="119">
        <f t="shared" si="4"/>
        <v>-400000</v>
      </c>
      <c r="L26" s="119">
        <f t="shared" si="4"/>
        <v>-400000</v>
      </c>
      <c r="M26" s="119">
        <f t="shared" si="4"/>
        <v>-400000</v>
      </c>
      <c r="N26" s="119">
        <f t="shared" si="4"/>
        <v>-4800000</v>
      </c>
    </row>
    <row r="27" spans="1:14" x14ac:dyDescent="0.3">
      <c r="A27" s="69"/>
      <c r="B27" s="67"/>
      <c r="C27" s="67"/>
      <c r="D27" s="67"/>
      <c r="E27" s="67"/>
      <c r="F27" s="67"/>
      <c r="G27" s="67"/>
      <c r="H27" s="67"/>
      <c r="I27" s="67"/>
      <c r="J27" s="67"/>
      <c r="K27" s="67"/>
      <c r="L27" s="67"/>
      <c r="M27" s="67"/>
      <c r="N27" s="67"/>
    </row>
    <row r="28" spans="1:14" x14ac:dyDescent="0.3">
      <c r="A28" s="73" t="s">
        <v>24</v>
      </c>
      <c r="B28" s="67"/>
      <c r="C28" s="67"/>
      <c r="D28" s="67"/>
      <c r="E28" s="67"/>
      <c r="F28" s="67"/>
      <c r="G28" s="67"/>
      <c r="H28" s="67"/>
      <c r="I28" s="67"/>
      <c r="J28" s="67"/>
      <c r="K28" s="67"/>
      <c r="L28" s="67"/>
      <c r="M28" s="67"/>
      <c r="N28" s="67"/>
    </row>
    <row r="29" spans="1:14" x14ac:dyDescent="0.3">
      <c r="A29" s="69" t="s">
        <v>25</v>
      </c>
      <c r="B29" s="70">
        <v>0</v>
      </c>
      <c r="C29" s="70">
        <v>0</v>
      </c>
      <c r="D29" s="70">
        <v>0</v>
      </c>
      <c r="E29" s="70">
        <v>0</v>
      </c>
      <c r="F29" s="70">
        <v>0</v>
      </c>
      <c r="G29" s="70">
        <v>0</v>
      </c>
      <c r="H29" s="70">
        <v>0</v>
      </c>
      <c r="I29" s="70">
        <v>0</v>
      </c>
      <c r="J29" s="70">
        <v>0</v>
      </c>
      <c r="K29" s="70">
        <v>0</v>
      </c>
      <c r="L29" s="70">
        <v>0</v>
      </c>
      <c r="M29" s="70">
        <v>0</v>
      </c>
      <c r="N29" s="67">
        <f>SUM(B29:M29)</f>
        <v>0</v>
      </c>
    </row>
    <row r="30" spans="1:14" x14ac:dyDescent="0.3">
      <c r="A30" s="69" t="s">
        <v>26</v>
      </c>
      <c r="B30" s="70">
        <v>0</v>
      </c>
      <c r="C30" s="70">
        <v>0</v>
      </c>
      <c r="D30" s="70">
        <v>0</v>
      </c>
      <c r="E30" s="70">
        <v>0</v>
      </c>
      <c r="F30" s="70">
        <v>0</v>
      </c>
      <c r="G30" s="70">
        <v>0</v>
      </c>
      <c r="H30" s="70">
        <v>0</v>
      </c>
      <c r="I30" s="70">
        <v>0</v>
      </c>
      <c r="J30" s="70">
        <v>0</v>
      </c>
      <c r="K30" s="70">
        <v>0</v>
      </c>
      <c r="L30" s="70">
        <v>0</v>
      </c>
      <c r="M30" s="70">
        <v>0</v>
      </c>
      <c r="N30" s="67">
        <f>SUM(B30:M30)</f>
        <v>0</v>
      </c>
    </row>
    <row r="31" spans="1:14" x14ac:dyDescent="0.3">
      <c r="A31" s="117" t="s">
        <v>27</v>
      </c>
      <c r="B31" s="119">
        <f t="shared" ref="B31:N31" si="5">SUM(B29:B30)</f>
        <v>0</v>
      </c>
      <c r="C31" s="119">
        <f t="shared" si="5"/>
        <v>0</v>
      </c>
      <c r="D31" s="119">
        <f t="shared" si="5"/>
        <v>0</v>
      </c>
      <c r="E31" s="119">
        <f t="shared" si="5"/>
        <v>0</v>
      </c>
      <c r="F31" s="119">
        <f t="shared" si="5"/>
        <v>0</v>
      </c>
      <c r="G31" s="119">
        <f t="shared" si="5"/>
        <v>0</v>
      </c>
      <c r="H31" s="119">
        <f t="shared" si="5"/>
        <v>0</v>
      </c>
      <c r="I31" s="119">
        <f t="shared" si="5"/>
        <v>0</v>
      </c>
      <c r="J31" s="119">
        <f t="shared" si="5"/>
        <v>0</v>
      </c>
      <c r="K31" s="119">
        <f t="shared" si="5"/>
        <v>0</v>
      </c>
      <c r="L31" s="119">
        <f t="shared" si="5"/>
        <v>0</v>
      </c>
      <c r="M31" s="119">
        <f t="shared" si="5"/>
        <v>0</v>
      </c>
      <c r="N31" s="119">
        <f t="shared" si="5"/>
        <v>0</v>
      </c>
    </row>
    <row r="32" spans="1:14" x14ac:dyDescent="0.3">
      <c r="A32" s="75"/>
      <c r="B32" s="67"/>
      <c r="C32" s="67"/>
      <c r="D32" s="67"/>
      <c r="E32" s="67"/>
      <c r="F32" s="67"/>
      <c r="G32" s="67"/>
      <c r="H32" s="67"/>
      <c r="I32" s="67"/>
      <c r="J32" s="67"/>
      <c r="K32" s="67"/>
      <c r="L32" s="67"/>
      <c r="M32" s="67"/>
      <c r="N32" s="67"/>
    </row>
    <row r="33" spans="1:14" s="106" customFormat="1" x14ac:dyDescent="0.3">
      <c r="A33" s="118" t="s">
        <v>28</v>
      </c>
      <c r="B33" s="120">
        <f>B21+B26+B31</f>
        <v>1400000</v>
      </c>
      <c r="C33" s="120">
        <f t="shared" ref="C33:N33" si="6">C21+C26+C31</f>
        <v>1400000</v>
      </c>
      <c r="D33" s="120">
        <f t="shared" si="6"/>
        <v>1400000</v>
      </c>
      <c r="E33" s="120">
        <f t="shared" si="6"/>
        <v>1400000</v>
      </c>
      <c r="F33" s="120">
        <f t="shared" si="6"/>
        <v>1400000</v>
      </c>
      <c r="G33" s="120">
        <f t="shared" si="6"/>
        <v>1400000</v>
      </c>
      <c r="H33" s="120">
        <f t="shared" si="6"/>
        <v>1400000</v>
      </c>
      <c r="I33" s="120">
        <f t="shared" si="6"/>
        <v>1400000</v>
      </c>
      <c r="J33" s="120">
        <f t="shared" si="6"/>
        <v>1400000</v>
      </c>
      <c r="K33" s="120">
        <f t="shared" si="6"/>
        <v>1400000</v>
      </c>
      <c r="L33" s="120">
        <f t="shared" si="6"/>
        <v>1400000</v>
      </c>
      <c r="M33" s="120">
        <f t="shared" si="6"/>
        <v>1400000</v>
      </c>
      <c r="N33" s="120">
        <f t="shared" si="6"/>
        <v>16800000</v>
      </c>
    </row>
  </sheetData>
  <mergeCells count="1">
    <mergeCell ref="A1:N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66A3-3D67-499C-A790-F11CB3E20CE1}">
  <sheetPr codeName="Sheet1">
    <tabColor theme="8" tint="0.79998168889431442"/>
  </sheetPr>
  <dimension ref="B1:ET405"/>
  <sheetViews>
    <sheetView zoomScale="91" zoomScaleNormal="91" workbookViewId="0">
      <pane xSplit="6" topLeftCell="G1" activePane="topRight" state="frozen"/>
      <selection activeCell="A64" sqref="A64"/>
      <selection pane="topRight" activeCell="M5" sqref="M5"/>
    </sheetView>
  </sheetViews>
  <sheetFormatPr defaultColWidth="9.109375" defaultRowHeight="14.25" outlineLevelRow="1" outlineLevelCol="1" x14ac:dyDescent="0.3"/>
  <cols>
    <col min="1" max="1" width="0" style="9" hidden="1" customWidth="1"/>
    <col min="2" max="2" width="2.44140625" style="9" hidden="1" customWidth="1"/>
    <col min="3" max="3" width="1.6640625" style="9" hidden="1" customWidth="1"/>
    <col min="4" max="4" width="3.44140625" style="9" hidden="1" customWidth="1"/>
    <col min="5" max="5" width="2.33203125" style="9" customWidth="1"/>
    <col min="6" max="6" width="22.77734375" style="9" bestFit="1" customWidth="1"/>
    <col min="7" max="7" width="1.6640625" style="4" customWidth="1"/>
    <col min="8" max="8" width="15.77734375" style="9" bestFit="1" customWidth="1"/>
    <col min="9" max="9" width="10" style="9" bestFit="1" customWidth="1"/>
    <col min="10" max="10" width="8.44140625" style="9" bestFit="1" customWidth="1"/>
    <col min="11" max="11" width="8.77734375" style="9" bestFit="1" customWidth="1"/>
    <col min="12" max="12" width="9.77734375" style="9" bestFit="1" customWidth="1"/>
    <col min="13" max="13" width="8.44140625" style="9" bestFit="1" customWidth="1"/>
    <col min="14" max="14" width="8.77734375" style="9" bestFit="1" customWidth="1"/>
    <col min="15" max="15" width="5.77734375" style="9" bestFit="1" customWidth="1"/>
    <col min="16" max="17" width="7.109375" style="9" bestFit="1" customWidth="1"/>
    <col min="18" max="18" width="2.109375" style="9" customWidth="1"/>
    <col min="19" max="20" width="9.33203125" style="9" hidden="1" customWidth="1" outlineLevel="1"/>
    <col min="21" max="21" width="9.44140625" style="9" hidden="1" customWidth="1" outlineLevel="1"/>
    <col min="22" max="30" width="9.33203125" style="9" hidden="1" customWidth="1" outlineLevel="1"/>
    <col min="31" max="31" width="9.33203125" style="9" customWidth="1" collapsed="1"/>
    <col min="32" max="43" width="7.109375" style="9" customWidth="1" outlineLevel="1"/>
    <col min="44" max="44" width="10" style="9" bestFit="1" customWidth="1"/>
    <col min="45" max="45" width="8.44140625" style="9" bestFit="1" customWidth="1"/>
    <col min="46" max="46" width="8.77734375" style="9" bestFit="1" customWidth="1"/>
    <col min="47" max="53" width="5.44140625" style="9" bestFit="1" customWidth="1" outlineLevel="1"/>
    <col min="54" max="54" width="6" style="9" bestFit="1" customWidth="1" outlineLevel="1"/>
    <col min="55" max="58" width="5.44140625" style="9" bestFit="1" customWidth="1" outlineLevel="1"/>
    <col min="59" max="59" width="5.44140625" style="9" bestFit="1" customWidth="1"/>
    <col min="60" max="61" width="7.109375" style="9" bestFit="1" customWidth="1"/>
    <col min="62" max="62" width="2.33203125" style="9" customWidth="1"/>
    <col min="63" max="63" width="7.77734375" style="9" customWidth="1"/>
    <col min="64" max="64" width="2.77734375" style="9" customWidth="1"/>
    <col min="65" max="65" width="8.77734375" style="9" bestFit="1" customWidth="1"/>
    <col min="66" max="103" width="9.109375" style="4"/>
    <col min="104" max="104" width="6" style="4" bestFit="1" customWidth="1"/>
    <col min="105" max="150" width="9.109375" style="4"/>
    <col min="151" max="16384" width="9.109375" style="9"/>
  </cols>
  <sheetData>
    <row r="1" spans="2:150" s="4" customFormat="1" x14ac:dyDescent="0.3">
      <c r="B1" s="87"/>
      <c r="C1" s="87"/>
      <c r="D1" s="87"/>
      <c r="E1" s="87"/>
      <c r="CZ1" s="137" t="s">
        <v>3</v>
      </c>
    </row>
    <row r="2" spans="2:150" s="4" customFormat="1" ht="14.25" customHeight="1" x14ac:dyDescent="0.3">
      <c r="B2" s="87"/>
      <c r="C2" s="87"/>
      <c r="D2" s="87"/>
      <c r="E2" s="87"/>
      <c r="CZ2" s="137" t="s">
        <v>4</v>
      </c>
    </row>
    <row r="3" spans="2:150" s="4" customFormat="1" ht="14.25" customHeight="1" x14ac:dyDescent="0.3">
      <c r="B3" s="87"/>
      <c r="C3" s="87"/>
      <c r="D3" s="87"/>
      <c r="E3" s="87"/>
      <c r="CZ3" s="137" t="s">
        <v>32</v>
      </c>
    </row>
    <row r="4" spans="2:150" s="4" customFormat="1" x14ac:dyDescent="0.3">
      <c r="B4" s="87"/>
      <c r="C4" s="87"/>
      <c r="D4" s="87"/>
      <c r="E4" s="87"/>
      <c r="F4" s="5"/>
      <c r="H4" s="260"/>
      <c r="I4" s="260"/>
      <c r="CZ4" s="137" t="s">
        <v>33</v>
      </c>
    </row>
    <row r="5" spans="2:150" s="4" customFormat="1" x14ac:dyDescent="0.3">
      <c r="B5" s="87"/>
      <c r="C5" s="87"/>
      <c r="D5" s="87"/>
      <c r="E5" s="87"/>
      <c r="F5" s="6"/>
      <c r="CZ5" s="137" t="s">
        <v>7</v>
      </c>
    </row>
    <row r="6" spans="2:150" s="4" customFormat="1" ht="15" thickBot="1" x14ac:dyDescent="0.35">
      <c r="B6" s="87"/>
      <c r="C6" s="87"/>
      <c r="D6" s="87"/>
      <c r="E6" s="87"/>
      <c r="F6" s="5"/>
      <c r="H6" s="112" t="s">
        <v>82</v>
      </c>
      <c r="I6" s="112" t="s">
        <v>12</v>
      </c>
      <c r="L6" s="112" t="s">
        <v>35</v>
      </c>
      <c r="O6" s="112" t="s">
        <v>82</v>
      </c>
      <c r="S6" s="114"/>
      <c r="T6" s="114"/>
      <c r="U6" s="114"/>
      <c r="V6" s="114"/>
      <c r="W6" s="114"/>
      <c r="X6" s="114"/>
      <c r="Y6" s="114"/>
      <c r="Z6" s="114"/>
      <c r="AA6" s="114"/>
      <c r="AB6" s="114"/>
      <c r="AC6" s="114"/>
      <c r="AD6" s="114"/>
      <c r="AE6" s="112" t="s">
        <v>14</v>
      </c>
      <c r="AR6" s="110" t="s">
        <v>14</v>
      </c>
      <c r="BG6" s="148" t="s">
        <v>82</v>
      </c>
      <c r="BI6" s="76"/>
      <c r="BJ6" s="76"/>
      <c r="BK6" s="76"/>
      <c r="BL6" s="76"/>
      <c r="BM6" s="76"/>
      <c r="CZ6" s="137" t="s">
        <v>34</v>
      </c>
    </row>
    <row r="7" spans="2:150" s="4" customFormat="1" x14ac:dyDescent="0.3">
      <c r="B7" s="87"/>
      <c r="C7" s="87"/>
      <c r="D7" s="87"/>
      <c r="E7" s="87"/>
      <c r="F7" s="5"/>
      <c r="H7" s="7"/>
      <c r="I7" s="7"/>
      <c r="L7" s="7"/>
      <c r="O7" s="76"/>
      <c r="P7" s="76"/>
      <c r="Q7" s="76"/>
      <c r="R7" s="76"/>
      <c r="S7" s="77"/>
      <c r="T7" s="77"/>
      <c r="U7" s="77"/>
      <c r="V7" s="77"/>
      <c r="W7" s="77"/>
      <c r="X7" s="77"/>
      <c r="Y7" s="77"/>
      <c r="Z7" s="77"/>
      <c r="AA7" s="77"/>
      <c r="AB7" s="77"/>
      <c r="AC7" s="77"/>
      <c r="AD7" s="77"/>
      <c r="AE7" s="78"/>
      <c r="AF7" s="76"/>
      <c r="AG7" s="76"/>
      <c r="AH7" s="76"/>
      <c r="AI7" s="76"/>
      <c r="AJ7" s="76"/>
      <c r="AK7" s="76"/>
      <c r="AL7" s="76"/>
      <c r="AM7" s="76"/>
      <c r="AN7" s="76"/>
      <c r="AO7" s="76"/>
      <c r="AP7" s="76"/>
      <c r="AQ7" s="76"/>
      <c r="AR7" s="78"/>
      <c r="AS7" s="76"/>
      <c r="AT7" s="76"/>
      <c r="AU7" s="76"/>
      <c r="AV7" s="76"/>
      <c r="AW7" s="76"/>
      <c r="AX7" s="76"/>
      <c r="AY7" s="76"/>
      <c r="AZ7" s="76"/>
      <c r="BA7" s="76"/>
      <c r="BB7" s="76"/>
      <c r="BC7" s="76"/>
      <c r="BD7" s="76"/>
      <c r="BE7" s="76"/>
      <c r="BF7" s="76"/>
      <c r="BG7" s="76"/>
      <c r="BH7" s="76"/>
      <c r="BI7" s="76"/>
      <c r="BJ7" s="76"/>
      <c r="BK7" s="76"/>
      <c r="BL7" s="76"/>
      <c r="BM7" s="76"/>
      <c r="CZ7" s="137" t="s">
        <v>9</v>
      </c>
    </row>
    <row r="8" spans="2:150" s="4" customFormat="1" hidden="1" x14ac:dyDescent="0.3">
      <c r="B8" s="87"/>
      <c r="C8" s="87"/>
      <c r="D8" s="87"/>
      <c r="E8" s="87"/>
      <c r="F8" s="5"/>
      <c r="H8" s="7"/>
      <c r="I8" s="7"/>
      <c r="O8" s="76"/>
      <c r="P8" s="76"/>
      <c r="Q8" s="76"/>
      <c r="R8" s="76"/>
      <c r="S8" s="77" t="str">
        <f>IF(S9&lt;=$AE$9,"yes","no")</f>
        <v>yes</v>
      </c>
      <c r="T8" s="77" t="str">
        <f t="shared" ref="T8:AD8" si="0">IF(T9&lt;=$AE$9,"yes","no")</f>
        <v>yes</v>
      </c>
      <c r="U8" s="77" t="str">
        <f t="shared" si="0"/>
        <v>yes</v>
      </c>
      <c r="V8" s="77" t="str">
        <f t="shared" si="0"/>
        <v>yes</v>
      </c>
      <c r="W8" s="77" t="str">
        <f t="shared" si="0"/>
        <v>yes</v>
      </c>
      <c r="X8" s="77" t="str">
        <f t="shared" si="0"/>
        <v>yes</v>
      </c>
      <c r="Y8" s="77" t="str">
        <f t="shared" si="0"/>
        <v>yes</v>
      </c>
      <c r="Z8" s="77" t="str">
        <f t="shared" si="0"/>
        <v>yes</v>
      </c>
      <c r="AA8" s="77" t="str">
        <f t="shared" si="0"/>
        <v>yes</v>
      </c>
      <c r="AB8" s="77" t="str">
        <f t="shared" si="0"/>
        <v>yes</v>
      </c>
      <c r="AC8" s="77" t="str">
        <f t="shared" si="0"/>
        <v>yes</v>
      </c>
      <c r="AD8" s="77" t="str">
        <f t="shared" si="0"/>
        <v>yes</v>
      </c>
      <c r="AE8" s="76"/>
      <c r="AF8" s="77" t="str">
        <f>IF(AF9&lt;=$AR$9,"yes","no")</f>
        <v>yes</v>
      </c>
      <c r="AG8" s="77" t="str">
        <f t="shared" ref="AG8:AQ8" si="1">IF(AG9&lt;=$AR$9,"yes","no")</f>
        <v>yes</v>
      </c>
      <c r="AH8" s="77" t="str">
        <f t="shared" si="1"/>
        <v>yes</v>
      </c>
      <c r="AI8" s="77" t="str">
        <f t="shared" si="1"/>
        <v>yes</v>
      </c>
      <c r="AJ8" s="77" t="str">
        <f t="shared" si="1"/>
        <v>yes</v>
      </c>
      <c r="AK8" s="77" t="str">
        <f t="shared" si="1"/>
        <v>yes</v>
      </c>
      <c r="AL8" s="77" t="str">
        <f t="shared" si="1"/>
        <v>yes</v>
      </c>
      <c r="AM8" s="77" t="str">
        <f t="shared" si="1"/>
        <v>yes</v>
      </c>
      <c r="AN8" s="77" t="str">
        <f t="shared" si="1"/>
        <v>yes</v>
      </c>
      <c r="AO8" s="77" t="str">
        <f t="shared" si="1"/>
        <v>yes</v>
      </c>
      <c r="AP8" s="77" t="str">
        <f t="shared" si="1"/>
        <v>yes</v>
      </c>
      <c r="AQ8" s="77" t="str">
        <f t="shared" si="1"/>
        <v>yes</v>
      </c>
      <c r="AR8" s="76"/>
      <c r="AS8" s="76"/>
      <c r="AT8" s="76"/>
      <c r="AU8" s="77" t="str">
        <f>IF(AU9&lt;=$BG$9,"yes","no")</f>
        <v>yes</v>
      </c>
      <c r="AV8" s="77" t="str">
        <f t="shared" ref="AV8:BF8" si="2">IF(AV9&lt;=$BG$9,"yes","no")</f>
        <v>yes</v>
      </c>
      <c r="AW8" s="77" t="str">
        <f t="shared" si="2"/>
        <v>yes</v>
      </c>
      <c r="AX8" s="77" t="str">
        <f t="shared" si="2"/>
        <v>yes</v>
      </c>
      <c r="AY8" s="77" t="str">
        <f t="shared" si="2"/>
        <v>yes</v>
      </c>
      <c r="AZ8" s="77" t="str">
        <f t="shared" si="2"/>
        <v>yes</v>
      </c>
      <c r="BA8" s="77" t="str">
        <f t="shared" si="2"/>
        <v>yes</v>
      </c>
      <c r="BB8" s="77" t="str">
        <f t="shared" si="2"/>
        <v>yes</v>
      </c>
      <c r="BC8" s="77" t="str">
        <f t="shared" si="2"/>
        <v>yes</v>
      </c>
      <c r="BD8" s="77" t="str">
        <f t="shared" si="2"/>
        <v>no</v>
      </c>
      <c r="BE8" s="77" t="str">
        <f t="shared" si="2"/>
        <v>no</v>
      </c>
      <c r="BF8" s="77" t="str">
        <f t="shared" si="2"/>
        <v>no</v>
      </c>
      <c r="BG8" s="76"/>
      <c r="BH8" s="76"/>
      <c r="BI8" s="76"/>
      <c r="BJ8" s="76"/>
      <c r="BK8" s="76"/>
      <c r="BL8" s="76"/>
      <c r="BM8" s="76"/>
      <c r="CZ8" s="137" t="s">
        <v>35</v>
      </c>
    </row>
    <row r="9" spans="2:150" s="4" customFormat="1" hidden="1" x14ac:dyDescent="0.3">
      <c r="B9" s="87"/>
      <c r="C9" s="87"/>
      <c r="D9" s="87"/>
      <c r="E9" s="87"/>
      <c r="H9" s="4">
        <f>INDEX($S$9:$AD$9,MATCH(H6,$S$10:$AD$10,0))</f>
        <v>9</v>
      </c>
      <c r="I9" s="4">
        <f>INDEX($AF$9:$AQ$9,MATCH(I6,$AF$10:$AQ$10,0))</f>
        <v>10</v>
      </c>
      <c r="L9" s="4">
        <f>INDEX($S$9:$AD$9,MATCH(L6,$S$10:$AD$10,0))</f>
        <v>8</v>
      </c>
      <c r="O9" s="76">
        <f>INDEX($AU$9:$BF$9,MATCH(O6,$AU$10:$BF$10,0))</f>
        <v>9</v>
      </c>
      <c r="P9" s="76"/>
      <c r="Q9" s="76"/>
      <c r="R9" s="76"/>
      <c r="S9" s="76">
        <v>1</v>
      </c>
      <c r="T9" s="76">
        <v>2</v>
      </c>
      <c r="U9" s="76">
        <v>3</v>
      </c>
      <c r="V9" s="76">
        <v>4</v>
      </c>
      <c r="W9" s="76">
        <v>5</v>
      </c>
      <c r="X9" s="76">
        <v>6</v>
      </c>
      <c r="Y9" s="76">
        <v>7</v>
      </c>
      <c r="Z9" s="76">
        <v>8</v>
      </c>
      <c r="AA9" s="76">
        <v>9</v>
      </c>
      <c r="AB9" s="76">
        <v>10</v>
      </c>
      <c r="AC9" s="76">
        <v>11</v>
      </c>
      <c r="AD9" s="76">
        <v>12</v>
      </c>
      <c r="AE9" s="76">
        <f>INDEX($S$9:$AD$9,MATCH(AE6,$S$10:$AD$10,0))</f>
        <v>12</v>
      </c>
      <c r="AF9" s="76">
        <v>1</v>
      </c>
      <c r="AG9" s="76">
        <v>2</v>
      </c>
      <c r="AH9" s="76">
        <v>3</v>
      </c>
      <c r="AI9" s="76">
        <v>4</v>
      </c>
      <c r="AJ9" s="76">
        <v>5</v>
      </c>
      <c r="AK9" s="76">
        <v>6</v>
      </c>
      <c r="AL9" s="76">
        <v>7</v>
      </c>
      <c r="AM9" s="76">
        <v>8</v>
      </c>
      <c r="AN9" s="76">
        <v>9</v>
      </c>
      <c r="AO9" s="76">
        <v>10</v>
      </c>
      <c r="AP9" s="76">
        <v>11</v>
      </c>
      <c r="AQ9" s="76">
        <v>12</v>
      </c>
      <c r="AR9" s="76">
        <f>INDEX($AF$9:$AQ$9,MATCH(AR6,$AF$10:$AQ$10,0))</f>
        <v>12</v>
      </c>
      <c r="AS9" s="76"/>
      <c r="AT9" s="76"/>
      <c r="AU9" s="76">
        <v>1</v>
      </c>
      <c r="AV9" s="76">
        <v>2</v>
      </c>
      <c r="AW9" s="76">
        <v>3</v>
      </c>
      <c r="AX9" s="76">
        <v>4</v>
      </c>
      <c r="AY9" s="76">
        <v>5</v>
      </c>
      <c r="AZ9" s="76">
        <v>6</v>
      </c>
      <c r="BA9" s="76">
        <v>7</v>
      </c>
      <c r="BB9" s="76">
        <v>8</v>
      </c>
      <c r="BC9" s="76">
        <v>9</v>
      </c>
      <c r="BD9" s="76">
        <v>10</v>
      </c>
      <c r="BE9" s="76">
        <v>11</v>
      </c>
      <c r="BF9" s="76">
        <v>12</v>
      </c>
      <c r="BG9" s="76">
        <f>INDEX($AU$9:$BF$9,MATCH(BG6,$AU$10:$BF$10,0))</f>
        <v>9</v>
      </c>
      <c r="BH9" s="76"/>
      <c r="BI9" s="76"/>
      <c r="BJ9" s="76"/>
      <c r="BK9" s="76"/>
      <c r="BL9" s="76"/>
      <c r="BM9" s="76"/>
      <c r="CZ9" s="137" t="s">
        <v>82</v>
      </c>
    </row>
    <row r="10" spans="2:150" x14ac:dyDescent="0.3">
      <c r="B10" s="87"/>
      <c r="C10" s="87"/>
      <c r="D10" s="87"/>
      <c r="E10" s="87"/>
      <c r="F10" s="270" t="s">
        <v>95</v>
      </c>
      <c r="G10" s="8"/>
      <c r="H10" s="109" t="s">
        <v>83</v>
      </c>
      <c r="I10" s="109" t="s">
        <v>83</v>
      </c>
      <c r="J10" s="109" t="s">
        <v>84</v>
      </c>
      <c r="K10" s="109" t="s">
        <v>84</v>
      </c>
      <c r="L10" s="109" t="s">
        <v>85</v>
      </c>
      <c r="M10" s="109" t="s">
        <v>84</v>
      </c>
      <c r="N10" s="109" t="s">
        <v>84</v>
      </c>
      <c r="O10" s="109" t="s">
        <v>83</v>
      </c>
      <c r="P10" s="109" t="s">
        <v>84</v>
      </c>
      <c r="Q10" s="109" t="s">
        <v>84</v>
      </c>
      <c r="R10" s="109"/>
      <c r="S10" s="109" t="s">
        <v>3</v>
      </c>
      <c r="T10" s="109" t="s">
        <v>4</v>
      </c>
      <c r="U10" s="109" t="s">
        <v>32</v>
      </c>
      <c r="V10" s="109" t="s">
        <v>33</v>
      </c>
      <c r="W10" s="109" t="s">
        <v>7</v>
      </c>
      <c r="X10" s="109" t="s">
        <v>34</v>
      </c>
      <c r="Y10" s="109" t="s">
        <v>9</v>
      </c>
      <c r="Z10" s="109" t="s">
        <v>35</v>
      </c>
      <c r="AA10" s="109" t="s">
        <v>82</v>
      </c>
      <c r="AB10" s="109" t="s">
        <v>12</v>
      </c>
      <c r="AC10" s="109" t="s">
        <v>13</v>
      </c>
      <c r="AD10" s="109" t="s">
        <v>14</v>
      </c>
      <c r="AE10" s="109" t="s">
        <v>86</v>
      </c>
      <c r="AF10" s="109" t="s">
        <v>3</v>
      </c>
      <c r="AG10" s="109" t="s">
        <v>4</v>
      </c>
      <c r="AH10" s="109" t="s">
        <v>32</v>
      </c>
      <c r="AI10" s="109" t="s">
        <v>33</v>
      </c>
      <c r="AJ10" s="109" t="s">
        <v>7</v>
      </c>
      <c r="AK10" s="109" t="s">
        <v>34</v>
      </c>
      <c r="AL10" s="109" t="s">
        <v>9</v>
      </c>
      <c r="AM10" s="109" t="s">
        <v>35</v>
      </c>
      <c r="AN10" s="109" t="s">
        <v>82</v>
      </c>
      <c r="AO10" s="109" t="s">
        <v>12</v>
      </c>
      <c r="AP10" s="109" t="s">
        <v>13</v>
      </c>
      <c r="AQ10" s="109" t="s">
        <v>14</v>
      </c>
      <c r="AR10" s="109" t="s">
        <v>86</v>
      </c>
      <c r="AS10" s="109" t="s">
        <v>84</v>
      </c>
      <c r="AT10" s="109" t="s">
        <v>84</v>
      </c>
      <c r="AU10" s="146" t="s">
        <v>3</v>
      </c>
      <c r="AV10" s="146" t="s">
        <v>4</v>
      </c>
      <c r="AW10" s="146" t="s">
        <v>32</v>
      </c>
      <c r="AX10" s="146" t="s">
        <v>33</v>
      </c>
      <c r="AY10" s="146" t="s">
        <v>7</v>
      </c>
      <c r="AZ10" s="146" t="s">
        <v>34</v>
      </c>
      <c r="BA10" s="146" t="s">
        <v>9</v>
      </c>
      <c r="BB10" s="146" t="s">
        <v>35</v>
      </c>
      <c r="BC10" s="146" t="s">
        <v>82</v>
      </c>
      <c r="BD10" s="146" t="s">
        <v>12</v>
      </c>
      <c r="BE10" s="146" t="s">
        <v>13</v>
      </c>
      <c r="BF10" s="146" t="s">
        <v>14</v>
      </c>
      <c r="BG10" s="146" t="s">
        <v>86</v>
      </c>
      <c r="BH10" s="146" t="s">
        <v>84</v>
      </c>
      <c r="BI10" s="146" t="s">
        <v>84</v>
      </c>
      <c r="BJ10" s="109"/>
      <c r="BK10" s="109" t="s">
        <v>615</v>
      </c>
      <c r="BL10" s="112"/>
      <c r="BM10" s="112"/>
      <c r="CZ10" s="137" t="s">
        <v>12</v>
      </c>
    </row>
    <row r="11" spans="2:150" ht="57.75" thickBot="1" x14ac:dyDescent="0.35">
      <c r="B11" s="87"/>
      <c r="C11" s="87"/>
      <c r="D11" s="87"/>
      <c r="E11" s="87"/>
      <c r="F11" s="271"/>
      <c r="G11" s="10"/>
      <c r="H11" s="110" t="s">
        <v>612</v>
      </c>
      <c r="I11" s="110" t="s">
        <v>608</v>
      </c>
      <c r="J11" s="110" t="s">
        <v>97</v>
      </c>
      <c r="K11" s="110" t="s">
        <v>98</v>
      </c>
      <c r="L11" s="110" t="s">
        <v>612</v>
      </c>
      <c r="M11" s="110" t="s">
        <v>97</v>
      </c>
      <c r="N11" s="110" t="s">
        <v>98</v>
      </c>
      <c r="O11" s="110" t="s">
        <v>96</v>
      </c>
      <c r="P11" s="110" t="s">
        <v>613</v>
      </c>
      <c r="Q11" s="110" t="s">
        <v>614</v>
      </c>
      <c r="R11" s="111"/>
      <c r="S11" s="110" t="s">
        <v>611</v>
      </c>
      <c r="T11" s="110" t="s">
        <v>611</v>
      </c>
      <c r="U11" s="110" t="s">
        <v>611</v>
      </c>
      <c r="V11" s="110" t="s">
        <v>611</v>
      </c>
      <c r="W11" s="110" t="s">
        <v>611</v>
      </c>
      <c r="X11" s="110" t="s">
        <v>611</v>
      </c>
      <c r="Y11" s="110" t="s">
        <v>611</v>
      </c>
      <c r="Z11" s="110" t="s">
        <v>611</v>
      </c>
      <c r="AA11" s="110" t="s">
        <v>611</v>
      </c>
      <c r="AB11" s="110" t="s">
        <v>611</v>
      </c>
      <c r="AC11" s="110" t="s">
        <v>611</v>
      </c>
      <c r="AD11" s="110" t="s">
        <v>611</v>
      </c>
      <c r="AE11" s="110" t="s">
        <v>611</v>
      </c>
      <c r="AF11" s="110" t="s">
        <v>608</v>
      </c>
      <c r="AG11" s="110" t="s">
        <v>608</v>
      </c>
      <c r="AH11" s="110" t="s">
        <v>608</v>
      </c>
      <c r="AI11" s="110" t="s">
        <v>608</v>
      </c>
      <c r="AJ11" s="110" t="s">
        <v>608</v>
      </c>
      <c r="AK11" s="110" t="s">
        <v>608</v>
      </c>
      <c r="AL11" s="110" t="s">
        <v>608</v>
      </c>
      <c r="AM11" s="110" t="s">
        <v>608</v>
      </c>
      <c r="AN11" s="110" t="s">
        <v>608</v>
      </c>
      <c r="AO11" s="110" t="s">
        <v>608</v>
      </c>
      <c r="AP11" s="110" t="s">
        <v>608</v>
      </c>
      <c r="AQ11" s="110" t="s">
        <v>608</v>
      </c>
      <c r="AR11" s="110" t="s">
        <v>608</v>
      </c>
      <c r="AS11" s="110" t="s">
        <v>97</v>
      </c>
      <c r="AT11" s="110" t="s">
        <v>98</v>
      </c>
      <c r="AU11" s="147" t="s">
        <v>96</v>
      </c>
      <c r="AV11" s="147" t="s">
        <v>96</v>
      </c>
      <c r="AW11" s="147" t="s">
        <v>96</v>
      </c>
      <c r="AX11" s="147" t="s">
        <v>96</v>
      </c>
      <c r="AY11" s="147" t="s">
        <v>96</v>
      </c>
      <c r="AZ11" s="147" t="s">
        <v>96</v>
      </c>
      <c r="BA11" s="147" t="s">
        <v>96</v>
      </c>
      <c r="BB11" s="147" t="s">
        <v>96</v>
      </c>
      <c r="BC11" s="147" t="s">
        <v>96</v>
      </c>
      <c r="BD11" s="147" t="s">
        <v>96</v>
      </c>
      <c r="BE11" s="147" t="s">
        <v>96</v>
      </c>
      <c r="BF11" s="147" t="s">
        <v>96</v>
      </c>
      <c r="BG11" s="147" t="s">
        <v>96</v>
      </c>
      <c r="BH11" s="147" t="s">
        <v>613</v>
      </c>
      <c r="BI11" s="147" t="s">
        <v>614</v>
      </c>
      <c r="BJ11" s="111"/>
      <c r="BK11" s="110" t="s">
        <v>0</v>
      </c>
      <c r="BL11" s="113"/>
      <c r="BM11" s="113" t="s">
        <v>99</v>
      </c>
      <c r="CZ11" s="137" t="s">
        <v>13</v>
      </c>
    </row>
    <row r="12" spans="2:150" ht="15" customHeight="1" thickBot="1" x14ac:dyDescent="0.35">
      <c r="B12" s="87"/>
      <c r="C12" s="87"/>
      <c r="D12" s="87"/>
      <c r="E12" s="87"/>
      <c r="F12" s="107" t="s">
        <v>87</v>
      </c>
      <c r="G12" s="105"/>
      <c r="H12" s="272"/>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108"/>
      <c r="BM12" s="108"/>
      <c r="CZ12" s="137" t="s">
        <v>14</v>
      </c>
    </row>
    <row r="13" spans="2:150" s="87" customFormat="1" ht="18.75" thickBot="1" x14ac:dyDescent="0.4">
      <c r="F13" s="121" t="s">
        <v>88</v>
      </c>
      <c r="G13" s="12"/>
      <c r="H13" s="82">
        <f t="shared" ref="H13:H18" si="3">INDEX($S13:$AD13,MATCH($H$9,$S$9:$AD$9,0))</f>
        <v>0</v>
      </c>
      <c r="I13" s="82">
        <f t="shared" ref="I13:I18" si="4">INDEX($AF13:$AQ13,MATCH($I$9,$AF$9:$AQ$9,0))</f>
        <v>0</v>
      </c>
      <c r="J13" s="82">
        <f>H13-I13</f>
        <v>0</v>
      </c>
      <c r="K13" s="83">
        <f>IFERROR(J13/I13,0)</f>
        <v>0</v>
      </c>
      <c r="L13" s="82">
        <f t="shared" ref="L13:L44" si="5">INDEX($S13:$AD13,MATCH($L$9,$S$9:$AD$9,0))</f>
        <v>0</v>
      </c>
      <c r="M13" s="82">
        <f t="shared" ref="M13" si="6">H13-L13</f>
        <v>0</v>
      </c>
      <c r="N13" s="83">
        <f>IFERROR(M13/L13,0)</f>
        <v>0</v>
      </c>
      <c r="O13" s="82">
        <f>INDEX($AU13:$BF13,MATCH($O$9,$AU$9:$BF$9,0))</f>
        <v>0</v>
      </c>
      <c r="P13" s="82">
        <f>H13-O13</f>
        <v>0</v>
      </c>
      <c r="Q13" s="83">
        <f>IFERROR(P13/O13,0)</f>
        <v>0</v>
      </c>
      <c r="R13" s="98"/>
      <c r="S13" s="82">
        <f>SUM(S14:S19)</f>
        <v>0</v>
      </c>
      <c r="T13" s="82">
        <f>SUM(T14:T19)</f>
        <v>0</v>
      </c>
      <c r="U13" s="82">
        <f>SUM(U14:U19)</f>
        <v>0</v>
      </c>
      <c r="V13" s="82">
        <f t="shared" ref="V13:AD13" si="7">SUM(V14:V19)</f>
        <v>0</v>
      </c>
      <c r="W13" s="82">
        <f t="shared" si="7"/>
        <v>0</v>
      </c>
      <c r="X13" s="82">
        <f t="shared" si="7"/>
        <v>0</v>
      </c>
      <c r="Y13" s="82">
        <f t="shared" si="7"/>
        <v>0</v>
      </c>
      <c r="Z13" s="82">
        <f>SUM(Z14:Z19)</f>
        <v>0</v>
      </c>
      <c r="AA13" s="82">
        <f t="shared" si="7"/>
        <v>0</v>
      </c>
      <c r="AB13" s="82">
        <f t="shared" si="7"/>
        <v>0</v>
      </c>
      <c r="AC13" s="82">
        <f t="shared" si="7"/>
        <v>0</v>
      </c>
      <c r="AD13" s="82">
        <f t="shared" si="7"/>
        <v>0</v>
      </c>
      <c r="AE13" s="82">
        <v>713431.1</v>
      </c>
      <c r="AF13" s="82">
        <f>SUM(AF14:AF19)</f>
        <v>302395.40999999997</v>
      </c>
      <c r="AG13" s="82">
        <f>SUM(AG14:AG19)</f>
        <v>276090</v>
      </c>
      <c r="AH13" s="82">
        <f>SUM(AH14:AH19)</f>
        <v>300000</v>
      </c>
      <c r="AI13" s="82">
        <f t="shared" ref="AI13:AQ13" si="8">SUM(AI14:AI19)</f>
        <v>300000</v>
      </c>
      <c r="AJ13" s="82">
        <f t="shared" si="8"/>
        <v>0</v>
      </c>
      <c r="AK13" s="82">
        <f t="shared" si="8"/>
        <v>0</v>
      </c>
      <c r="AL13" s="82">
        <f t="shared" si="8"/>
        <v>0</v>
      </c>
      <c r="AM13" s="82">
        <f>SUM(AM14:AM19)</f>
        <v>0</v>
      </c>
      <c r="AN13" s="82">
        <f t="shared" si="8"/>
        <v>0</v>
      </c>
      <c r="AO13" s="82">
        <f t="shared" si="8"/>
        <v>0</v>
      </c>
      <c r="AP13" s="82">
        <f t="shared" si="8"/>
        <v>0</v>
      </c>
      <c r="AQ13" s="82">
        <f t="shared" si="8"/>
        <v>0</v>
      </c>
      <c r="AR13" s="82">
        <f>SUMIF($AF$8:$AQ$8,"yes",$AF13:$AQ13)</f>
        <v>1178485.4099999999</v>
      </c>
      <c r="AS13" s="82">
        <f>AE13-AR13</f>
        <v>-465054.30999999994</v>
      </c>
      <c r="AT13" s="83">
        <f>IFERROR(AS13/AR13,0)</f>
        <v>-0.39462033730226664</v>
      </c>
      <c r="AU13" s="82">
        <f>SUM(AU14:AU18)</f>
        <v>0</v>
      </c>
      <c r="AV13" s="82">
        <f t="shared" ref="AV13:BF13" si="9">SUM(AV14:AV18)</f>
        <v>0</v>
      </c>
      <c r="AW13" s="82">
        <f t="shared" si="9"/>
        <v>0</v>
      </c>
      <c r="AX13" s="82">
        <f t="shared" si="9"/>
        <v>0</v>
      </c>
      <c r="AY13" s="82">
        <f t="shared" si="9"/>
        <v>0</v>
      </c>
      <c r="AZ13" s="82">
        <f t="shared" si="9"/>
        <v>0</v>
      </c>
      <c r="BA13" s="82">
        <f t="shared" si="9"/>
        <v>0</v>
      </c>
      <c r="BB13" s="82">
        <f t="shared" si="9"/>
        <v>0</v>
      </c>
      <c r="BC13" s="82">
        <f t="shared" si="9"/>
        <v>0</v>
      </c>
      <c r="BD13" s="82">
        <f t="shared" si="9"/>
        <v>0</v>
      </c>
      <c r="BE13" s="82">
        <f t="shared" si="9"/>
        <v>0</v>
      </c>
      <c r="BF13" s="82">
        <f t="shared" si="9"/>
        <v>0</v>
      </c>
      <c r="BG13" s="82">
        <f>SUMIF($AU$8:$BF$8,"yes",$AU13:$BF13)</f>
        <v>0</v>
      </c>
      <c r="BH13" s="82">
        <f>AE13-BG13</f>
        <v>713431.1</v>
      </c>
      <c r="BI13" s="83">
        <f>IFERROR(BH13/BG13,0)</f>
        <v>0</v>
      </c>
      <c r="BJ13" s="99"/>
      <c r="BK13" s="82">
        <f t="shared" ref="BK13" si="10">SUM(BK14:BK19)</f>
        <v>1178485.4099999999</v>
      </c>
      <c r="BL13" s="100"/>
      <c r="BM13" s="101"/>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37"/>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row>
    <row r="14" spans="2:150" s="94" customFormat="1" ht="15" hidden="1" outlineLevel="1" thickBot="1" x14ac:dyDescent="0.35">
      <c r="B14" s="198" t="s">
        <v>216</v>
      </c>
      <c r="C14" s="94">
        <v>9</v>
      </c>
      <c r="D14" s="87" t="str">
        <f>CONCATENATE(B14,C14)</f>
        <v>009</v>
      </c>
      <c r="E14" s="87"/>
      <c r="F14" s="13" t="s">
        <v>101</v>
      </c>
      <c r="G14" s="14"/>
      <c r="H14" s="82">
        <f t="shared" si="3"/>
        <v>0</v>
      </c>
      <c r="I14" s="82">
        <f t="shared" si="4"/>
        <v>0</v>
      </c>
      <c r="J14" s="88">
        <f t="shared" ref="J14:J77" si="11">H14-I14</f>
        <v>0</v>
      </c>
      <c r="K14" s="90">
        <f t="shared" ref="K14:K77" si="12">IFERROR(J14/I14,0)</f>
        <v>0</v>
      </c>
      <c r="L14" s="88">
        <f t="shared" si="5"/>
        <v>0</v>
      </c>
      <c r="M14" s="88">
        <f t="shared" ref="M14:M77" si="13">H14-L14</f>
        <v>0</v>
      </c>
      <c r="N14" s="90">
        <f t="shared" ref="N14:N77" si="14">IFERROR(M14/L14,0)</f>
        <v>0</v>
      </c>
      <c r="O14" s="88">
        <f t="shared" ref="O14:O77" si="15">INDEX($AU14:$BF14,MATCH($O$9,$AU$9:$BF$9,0))</f>
        <v>0</v>
      </c>
      <c r="P14" s="88">
        <f t="shared" ref="P14:P77" si="16">H14-O14</f>
        <v>0</v>
      </c>
      <c r="Q14" s="90">
        <f t="shared" ref="Q14:Q77" si="17">IFERROR(P14/O14,0)</f>
        <v>0</v>
      </c>
      <c r="R14" s="102"/>
      <c r="S14" s="88"/>
      <c r="T14" s="88"/>
      <c r="U14" s="88"/>
      <c r="V14" s="88"/>
      <c r="W14" s="88"/>
      <c r="X14" s="88"/>
      <c r="Y14" s="88"/>
      <c r="Z14" s="88"/>
      <c r="AA14" s="88"/>
      <c r="AB14" s="88"/>
      <c r="AC14" s="88"/>
      <c r="AD14" s="88"/>
      <c r="AE14" s="82">
        <v>713431.1</v>
      </c>
      <c r="AF14" s="88">
        <f>SUMIF('2022 Budget Expenses Model'!$C:$C,'Summary by Department &amp; Categor'!$D14,'2022 Budget Expenses Model'!I:I)</f>
        <v>302395.40999999997</v>
      </c>
      <c r="AG14" s="88">
        <f>SUMIF('2022 Budget Expenses Model'!$C:$C,'Summary by Department &amp; Categor'!$D14,'2022 Budget Expenses Model'!J:J)</f>
        <v>276090</v>
      </c>
      <c r="AH14" s="88">
        <f>SUMIF('2022 Budget Expenses Model'!$C:$C,'Summary by Department &amp; Categor'!$D14,'2022 Budget Expenses Model'!K:K)</f>
        <v>300000</v>
      </c>
      <c r="AI14" s="88">
        <f>SUMIF('2022 Budget Expenses Model'!$C:$C,'Summary by Department &amp; Categor'!$D14,'2022 Budget Expenses Model'!L:L)</f>
        <v>300000</v>
      </c>
      <c r="AJ14" s="88">
        <f>SUMIF('2022 Budget Expenses Model'!$C:$C,'Summary by Department &amp; Categor'!$D14,'2022 Budget Expenses Model'!M:M)</f>
        <v>0</v>
      </c>
      <c r="AK14" s="88">
        <f>SUMIF('2022 Budget Expenses Model'!$C:$C,'Summary by Department &amp; Categor'!$D14,'2022 Budget Expenses Model'!N:N)</f>
        <v>0</v>
      </c>
      <c r="AL14" s="88">
        <f>SUMIF('2022 Budget Expenses Model'!$C:$C,'Summary by Department &amp; Categor'!$D14,'2022 Budget Expenses Model'!O:O)</f>
        <v>0</v>
      </c>
      <c r="AM14" s="88">
        <f>SUMIF('2022 Budget Expenses Model'!$C:$C,'Summary by Department &amp; Categor'!$D14,'2022 Budget Expenses Model'!P:P)</f>
        <v>0</v>
      </c>
      <c r="AN14" s="88">
        <f>SUMIF('2022 Budget Expenses Model'!$C:$C,'Summary by Department &amp; Categor'!$D14,'2022 Budget Expenses Model'!Q:Q)</f>
        <v>0</v>
      </c>
      <c r="AO14" s="88">
        <f>SUMIF('2022 Budget Expenses Model'!$C:$C,'Summary by Department &amp; Categor'!$D14,'2022 Budget Expenses Model'!R:R)</f>
        <v>0</v>
      </c>
      <c r="AP14" s="88">
        <f>SUMIF('2022 Budget Expenses Model'!$C:$C,'Summary by Department &amp; Categor'!$D14,'2022 Budget Expenses Model'!S:S)</f>
        <v>0</v>
      </c>
      <c r="AQ14" s="88">
        <f>SUMIF('2022 Budget Expenses Model'!$C:$C,'Summary by Department &amp; Categor'!$D14,'2022 Budget Expenses Model'!T:T)</f>
        <v>0</v>
      </c>
      <c r="AR14" s="88">
        <f t="shared" ref="AR14:AR77" si="18">SUMIF($AF$8:$AQ$8,"yes",$AF14:$AQ14)</f>
        <v>1178485.4099999999</v>
      </c>
      <c r="AS14" s="88">
        <f t="shared" ref="AS14:AS77" si="19">AE14-AR14</f>
        <v>-465054.30999999994</v>
      </c>
      <c r="AT14" s="90">
        <f t="shared" ref="AT14:AT77" si="20">IFERROR(AS14/AR14,0)</f>
        <v>-0.39462033730226664</v>
      </c>
      <c r="AU14" s="88"/>
      <c r="AV14" s="88"/>
      <c r="AW14" s="88"/>
      <c r="AX14" s="88"/>
      <c r="AY14" s="88"/>
      <c r="AZ14" s="88"/>
      <c r="BA14" s="88"/>
      <c r="BB14" s="88"/>
      <c r="BC14" s="88"/>
      <c r="BD14" s="88"/>
      <c r="BE14" s="88"/>
      <c r="BF14" s="88"/>
      <c r="BG14" s="88">
        <f t="shared" ref="BG14:BG77" si="21">SUMIF($AU$8:$BF$8,"yes",$AU14:$BF14)</f>
        <v>0</v>
      </c>
      <c r="BH14" s="88">
        <f t="shared" ref="BH14:BH77" si="22">AE14-BG14</f>
        <v>713431.1</v>
      </c>
      <c r="BI14" s="90">
        <f t="shared" ref="BI14:BI77" si="23">IFERROR(BH14/BG14,0)</f>
        <v>0</v>
      </c>
      <c r="BJ14" s="103"/>
      <c r="BK14" s="88">
        <f>SUM(AF14:AQ14)</f>
        <v>1178485.4099999999</v>
      </c>
      <c r="BL14" s="104"/>
      <c r="BM14" s="101"/>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row>
    <row r="15" spans="2:150" s="94" customFormat="1" ht="15" hidden="1" outlineLevel="1" thickBot="1" x14ac:dyDescent="0.35">
      <c r="F15" s="13" t="s">
        <v>102</v>
      </c>
      <c r="G15" s="14"/>
      <c r="H15" s="82">
        <f t="shared" si="3"/>
        <v>0</v>
      </c>
      <c r="I15" s="82">
        <f t="shared" si="4"/>
        <v>0</v>
      </c>
      <c r="J15" s="88">
        <f t="shared" si="11"/>
        <v>0</v>
      </c>
      <c r="K15" s="90">
        <f t="shared" si="12"/>
        <v>0</v>
      </c>
      <c r="L15" s="88">
        <f t="shared" si="5"/>
        <v>0</v>
      </c>
      <c r="M15" s="88">
        <f t="shared" si="13"/>
        <v>0</v>
      </c>
      <c r="N15" s="90">
        <f t="shared" si="14"/>
        <v>0</v>
      </c>
      <c r="O15" s="88">
        <f t="shared" si="15"/>
        <v>0</v>
      </c>
      <c r="P15" s="88">
        <f t="shared" si="16"/>
        <v>0</v>
      </c>
      <c r="Q15" s="90">
        <f t="shared" si="17"/>
        <v>0</v>
      </c>
      <c r="R15" s="102"/>
      <c r="S15" s="88"/>
      <c r="T15" s="88"/>
      <c r="U15" s="88"/>
      <c r="V15" s="88"/>
      <c r="W15" s="88"/>
      <c r="X15" s="88"/>
      <c r="Y15" s="88"/>
      <c r="Z15" s="88"/>
      <c r="AA15" s="88"/>
      <c r="AB15" s="88"/>
      <c r="AC15" s="88"/>
      <c r="AD15" s="88"/>
      <c r="AE15" s="82">
        <v>0</v>
      </c>
      <c r="AF15" s="88">
        <f>SUMIF('2022 Budget Expenses Model'!$C:$C,'Summary by Department &amp; Categor'!$D15,'2022 Budget Expenses Model'!I:I)</f>
        <v>0</v>
      </c>
      <c r="AG15" s="88">
        <f>SUMIF('2022 Budget Expenses Model'!$C:$C,'Summary by Department &amp; Categor'!$D15,'2022 Budget Expenses Model'!J:J)</f>
        <v>0</v>
      </c>
      <c r="AH15" s="88">
        <f>SUMIF('2022 Budget Expenses Model'!$C:$C,'Summary by Department &amp; Categor'!$D15,'2022 Budget Expenses Model'!K:K)</f>
        <v>0</v>
      </c>
      <c r="AI15" s="88">
        <f>SUMIF('2022 Budget Expenses Model'!$C:$C,'Summary by Department &amp; Categor'!$D15,'2022 Budget Expenses Model'!L:L)</f>
        <v>0</v>
      </c>
      <c r="AJ15" s="88">
        <f>SUMIF('2022 Budget Expenses Model'!$C:$C,'Summary by Department &amp; Categor'!$D15,'2022 Budget Expenses Model'!M:M)</f>
        <v>0</v>
      </c>
      <c r="AK15" s="88">
        <f>SUMIF('2022 Budget Expenses Model'!$C:$C,'Summary by Department &amp; Categor'!$D15,'2022 Budget Expenses Model'!N:N)</f>
        <v>0</v>
      </c>
      <c r="AL15" s="88">
        <f>SUMIF('2022 Budget Expenses Model'!$C:$C,'Summary by Department &amp; Categor'!$D15,'2022 Budget Expenses Model'!O:O)</f>
        <v>0</v>
      </c>
      <c r="AM15" s="88">
        <f>SUMIF('2022 Budget Expenses Model'!$C:$C,'Summary by Department &amp; Categor'!$D15,'2022 Budget Expenses Model'!P:P)</f>
        <v>0</v>
      </c>
      <c r="AN15" s="88">
        <f>SUMIF('2022 Budget Expenses Model'!$C:$C,'Summary by Department &amp; Categor'!$D15,'2022 Budget Expenses Model'!Q:Q)</f>
        <v>0</v>
      </c>
      <c r="AO15" s="88">
        <f>SUMIF('2022 Budget Expenses Model'!$C:$C,'Summary by Department &amp; Categor'!$D15,'2022 Budget Expenses Model'!R:R)</f>
        <v>0</v>
      </c>
      <c r="AP15" s="88">
        <f>SUMIF('2022 Budget Expenses Model'!$C:$C,'Summary by Department &amp; Categor'!$D15,'2022 Budget Expenses Model'!S:S)</f>
        <v>0</v>
      </c>
      <c r="AQ15" s="88">
        <f>SUMIF('2022 Budget Expenses Model'!$C:$C,'Summary by Department &amp; Categor'!$D15,'2022 Budget Expenses Model'!T:T)</f>
        <v>0</v>
      </c>
      <c r="AR15" s="88">
        <f t="shared" si="18"/>
        <v>0</v>
      </c>
      <c r="AS15" s="88">
        <f t="shared" si="19"/>
        <v>0</v>
      </c>
      <c r="AT15" s="90">
        <f t="shared" si="20"/>
        <v>0</v>
      </c>
      <c r="AU15" s="88"/>
      <c r="AV15" s="88"/>
      <c r="AW15" s="88"/>
      <c r="AX15" s="88"/>
      <c r="AY15" s="88"/>
      <c r="AZ15" s="88"/>
      <c r="BA15" s="88"/>
      <c r="BB15" s="88"/>
      <c r="BC15" s="88"/>
      <c r="BD15" s="88"/>
      <c r="BE15" s="88"/>
      <c r="BF15" s="88"/>
      <c r="BG15" s="88">
        <f t="shared" si="21"/>
        <v>0</v>
      </c>
      <c r="BH15" s="88">
        <f t="shared" si="22"/>
        <v>0</v>
      </c>
      <c r="BI15" s="90">
        <f t="shared" si="23"/>
        <v>0</v>
      </c>
      <c r="BJ15" s="103"/>
      <c r="BK15" s="88">
        <f t="shared" ref="BK15:BK78" si="24">SUM(AF15:AQ15)</f>
        <v>0</v>
      </c>
      <c r="BL15" s="104"/>
      <c r="BM15" s="101"/>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row>
    <row r="16" spans="2:150" s="94" customFormat="1" ht="15" hidden="1" outlineLevel="1" thickBot="1" x14ac:dyDescent="0.35">
      <c r="F16" s="13" t="s">
        <v>117</v>
      </c>
      <c r="G16" s="14"/>
      <c r="H16" s="82">
        <f t="shared" si="3"/>
        <v>0</v>
      </c>
      <c r="I16" s="82">
        <f t="shared" si="4"/>
        <v>0</v>
      </c>
      <c r="J16" s="88">
        <f t="shared" si="11"/>
        <v>0</v>
      </c>
      <c r="K16" s="90">
        <f t="shared" si="12"/>
        <v>0</v>
      </c>
      <c r="L16" s="88">
        <f t="shared" si="5"/>
        <v>0</v>
      </c>
      <c r="M16" s="88">
        <f t="shared" si="13"/>
        <v>0</v>
      </c>
      <c r="N16" s="90">
        <f t="shared" si="14"/>
        <v>0</v>
      </c>
      <c r="O16" s="88">
        <f t="shared" si="15"/>
        <v>0</v>
      </c>
      <c r="P16" s="88">
        <f t="shared" si="16"/>
        <v>0</v>
      </c>
      <c r="Q16" s="90">
        <f t="shared" si="17"/>
        <v>0</v>
      </c>
      <c r="R16" s="102"/>
      <c r="S16" s="88"/>
      <c r="T16" s="88"/>
      <c r="U16" s="88"/>
      <c r="V16" s="88"/>
      <c r="W16" s="88"/>
      <c r="X16" s="88"/>
      <c r="Y16" s="88"/>
      <c r="Z16" s="88"/>
      <c r="AA16" s="88"/>
      <c r="AB16" s="88"/>
      <c r="AC16" s="88"/>
      <c r="AD16" s="88"/>
      <c r="AE16" s="82">
        <v>0</v>
      </c>
      <c r="AF16" s="88">
        <f>SUMIF('2022 Budget Expenses Model'!$C:$C,'Summary by Department &amp; Categor'!$D16,'2022 Budget Expenses Model'!I:I)</f>
        <v>0</v>
      </c>
      <c r="AG16" s="88">
        <f>SUMIF('2022 Budget Expenses Model'!$C:$C,'Summary by Department &amp; Categor'!$D16,'2022 Budget Expenses Model'!J:J)</f>
        <v>0</v>
      </c>
      <c r="AH16" s="88">
        <f>SUMIF('2022 Budget Expenses Model'!$C:$C,'Summary by Department &amp; Categor'!$D16,'2022 Budget Expenses Model'!K:K)</f>
        <v>0</v>
      </c>
      <c r="AI16" s="88">
        <f>SUMIF('2022 Budget Expenses Model'!$C:$C,'Summary by Department &amp; Categor'!$D16,'2022 Budget Expenses Model'!L:L)</f>
        <v>0</v>
      </c>
      <c r="AJ16" s="88">
        <f>SUMIF('2022 Budget Expenses Model'!$C:$C,'Summary by Department &amp; Categor'!$D16,'2022 Budget Expenses Model'!M:M)</f>
        <v>0</v>
      </c>
      <c r="AK16" s="88">
        <f>SUMIF('2022 Budget Expenses Model'!$C:$C,'Summary by Department &amp; Categor'!$D16,'2022 Budget Expenses Model'!N:N)</f>
        <v>0</v>
      </c>
      <c r="AL16" s="88">
        <f>SUMIF('2022 Budget Expenses Model'!$C:$C,'Summary by Department &amp; Categor'!$D16,'2022 Budget Expenses Model'!O:O)</f>
        <v>0</v>
      </c>
      <c r="AM16" s="88">
        <f>SUMIF('2022 Budget Expenses Model'!$C:$C,'Summary by Department &amp; Categor'!$D16,'2022 Budget Expenses Model'!P:P)</f>
        <v>0</v>
      </c>
      <c r="AN16" s="88">
        <f>SUMIF('2022 Budget Expenses Model'!$C:$C,'Summary by Department &amp; Categor'!$D16,'2022 Budget Expenses Model'!Q:Q)</f>
        <v>0</v>
      </c>
      <c r="AO16" s="88">
        <f>SUMIF('2022 Budget Expenses Model'!$C:$C,'Summary by Department &amp; Categor'!$D16,'2022 Budget Expenses Model'!R:R)</f>
        <v>0</v>
      </c>
      <c r="AP16" s="88">
        <f>SUMIF('2022 Budget Expenses Model'!$C:$C,'Summary by Department &amp; Categor'!$D16,'2022 Budget Expenses Model'!S:S)</f>
        <v>0</v>
      </c>
      <c r="AQ16" s="88">
        <f>SUMIF('2022 Budget Expenses Model'!$C:$C,'Summary by Department &amp; Categor'!$D16,'2022 Budget Expenses Model'!T:T)</f>
        <v>0</v>
      </c>
      <c r="AR16" s="88">
        <f t="shared" si="18"/>
        <v>0</v>
      </c>
      <c r="AS16" s="88">
        <f t="shared" si="19"/>
        <v>0</v>
      </c>
      <c r="AT16" s="90">
        <f t="shared" si="20"/>
        <v>0</v>
      </c>
      <c r="AU16" s="88"/>
      <c r="AV16" s="88"/>
      <c r="AW16" s="88"/>
      <c r="AX16" s="88"/>
      <c r="AY16" s="88"/>
      <c r="AZ16" s="88"/>
      <c r="BA16" s="88"/>
      <c r="BB16" s="88"/>
      <c r="BC16" s="88"/>
      <c r="BD16" s="88"/>
      <c r="BE16" s="88"/>
      <c r="BF16" s="88"/>
      <c r="BG16" s="88">
        <f t="shared" si="21"/>
        <v>0</v>
      </c>
      <c r="BH16" s="88">
        <f t="shared" si="22"/>
        <v>0</v>
      </c>
      <c r="BI16" s="90">
        <f t="shared" si="23"/>
        <v>0</v>
      </c>
      <c r="BJ16" s="103"/>
      <c r="BK16" s="88">
        <f t="shared" si="24"/>
        <v>0</v>
      </c>
      <c r="BL16" s="104"/>
      <c r="BM16" s="101"/>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row>
    <row r="17" spans="2:150" s="94" customFormat="1" ht="15" hidden="1" outlineLevel="1" thickBot="1" x14ac:dyDescent="0.35">
      <c r="F17" s="13" t="s">
        <v>118</v>
      </c>
      <c r="G17" s="14"/>
      <c r="H17" s="82">
        <f t="shared" si="3"/>
        <v>0</v>
      </c>
      <c r="I17" s="82">
        <f t="shared" si="4"/>
        <v>0</v>
      </c>
      <c r="J17" s="88">
        <f t="shared" si="11"/>
        <v>0</v>
      </c>
      <c r="K17" s="90">
        <f t="shared" si="12"/>
        <v>0</v>
      </c>
      <c r="L17" s="88">
        <f t="shared" si="5"/>
        <v>0</v>
      </c>
      <c r="M17" s="88">
        <f t="shared" si="13"/>
        <v>0</v>
      </c>
      <c r="N17" s="90">
        <f t="shared" si="14"/>
        <v>0</v>
      </c>
      <c r="O17" s="88">
        <f t="shared" si="15"/>
        <v>0</v>
      </c>
      <c r="P17" s="88">
        <f t="shared" si="16"/>
        <v>0</v>
      </c>
      <c r="Q17" s="90">
        <f t="shared" si="17"/>
        <v>0</v>
      </c>
      <c r="R17" s="102"/>
      <c r="S17" s="88"/>
      <c r="T17" s="88"/>
      <c r="U17" s="88"/>
      <c r="V17" s="88"/>
      <c r="W17" s="88"/>
      <c r="X17" s="88"/>
      <c r="Y17" s="88"/>
      <c r="Z17" s="88"/>
      <c r="AA17" s="88"/>
      <c r="AB17" s="88"/>
      <c r="AC17" s="88"/>
      <c r="AD17" s="88"/>
      <c r="AE17" s="82">
        <v>0</v>
      </c>
      <c r="AF17" s="88">
        <f>SUMIF('2022 Budget Expenses Model'!$C:$C,'Summary by Department &amp; Categor'!$D17,'2022 Budget Expenses Model'!I:I)</f>
        <v>0</v>
      </c>
      <c r="AG17" s="88">
        <f>SUMIF('2022 Budget Expenses Model'!$C:$C,'Summary by Department &amp; Categor'!$D17,'2022 Budget Expenses Model'!J:J)</f>
        <v>0</v>
      </c>
      <c r="AH17" s="88">
        <f>SUMIF('2022 Budget Expenses Model'!$C:$C,'Summary by Department &amp; Categor'!$D17,'2022 Budget Expenses Model'!K:K)</f>
        <v>0</v>
      </c>
      <c r="AI17" s="88">
        <f>SUMIF('2022 Budget Expenses Model'!$C:$C,'Summary by Department &amp; Categor'!$D17,'2022 Budget Expenses Model'!L:L)</f>
        <v>0</v>
      </c>
      <c r="AJ17" s="88">
        <f>SUMIF('2022 Budget Expenses Model'!$C:$C,'Summary by Department &amp; Categor'!$D17,'2022 Budget Expenses Model'!M:M)</f>
        <v>0</v>
      </c>
      <c r="AK17" s="88">
        <f>SUMIF('2022 Budget Expenses Model'!$C:$C,'Summary by Department &amp; Categor'!$D17,'2022 Budget Expenses Model'!N:N)</f>
        <v>0</v>
      </c>
      <c r="AL17" s="88">
        <f>SUMIF('2022 Budget Expenses Model'!$C:$C,'Summary by Department &amp; Categor'!$D17,'2022 Budget Expenses Model'!O:O)</f>
        <v>0</v>
      </c>
      <c r="AM17" s="88">
        <f>SUMIF('2022 Budget Expenses Model'!$C:$C,'Summary by Department &amp; Categor'!$D17,'2022 Budget Expenses Model'!P:P)</f>
        <v>0</v>
      </c>
      <c r="AN17" s="88">
        <f>SUMIF('2022 Budget Expenses Model'!$C:$C,'Summary by Department &amp; Categor'!$D17,'2022 Budget Expenses Model'!Q:Q)</f>
        <v>0</v>
      </c>
      <c r="AO17" s="88">
        <f>SUMIF('2022 Budget Expenses Model'!$C:$C,'Summary by Department &amp; Categor'!$D17,'2022 Budget Expenses Model'!R:R)</f>
        <v>0</v>
      </c>
      <c r="AP17" s="88">
        <f>SUMIF('2022 Budget Expenses Model'!$C:$C,'Summary by Department &amp; Categor'!$D17,'2022 Budget Expenses Model'!S:S)</f>
        <v>0</v>
      </c>
      <c r="AQ17" s="88">
        <f>SUMIF('2022 Budget Expenses Model'!$C:$C,'Summary by Department &amp; Categor'!$D17,'2022 Budget Expenses Model'!T:T)</f>
        <v>0</v>
      </c>
      <c r="AR17" s="88">
        <f t="shared" si="18"/>
        <v>0</v>
      </c>
      <c r="AS17" s="88">
        <f t="shared" si="19"/>
        <v>0</v>
      </c>
      <c r="AT17" s="90">
        <f t="shared" si="20"/>
        <v>0</v>
      </c>
      <c r="AU17" s="88"/>
      <c r="AV17" s="88"/>
      <c r="AW17" s="88"/>
      <c r="AX17" s="88"/>
      <c r="AY17" s="88"/>
      <c r="AZ17" s="88"/>
      <c r="BA17" s="88"/>
      <c r="BB17" s="88"/>
      <c r="BC17" s="88"/>
      <c r="BD17" s="88"/>
      <c r="BE17" s="88"/>
      <c r="BF17" s="88"/>
      <c r="BG17" s="88">
        <f t="shared" si="21"/>
        <v>0</v>
      </c>
      <c r="BH17" s="88">
        <f t="shared" si="22"/>
        <v>0</v>
      </c>
      <c r="BI17" s="90">
        <f t="shared" si="23"/>
        <v>0</v>
      </c>
      <c r="BJ17" s="103"/>
      <c r="BK17" s="88">
        <f t="shared" si="24"/>
        <v>0</v>
      </c>
      <c r="BL17" s="104"/>
      <c r="BM17" s="101"/>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row>
    <row r="18" spans="2:150" s="94" customFormat="1" ht="15" hidden="1" outlineLevel="1" thickBot="1" x14ac:dyDescent="0.35">
      <c r="F18" s="13" t="s">
        <v>46</v>
      </c>
      <c r="G18" s="14"/>
      <c r="H18" s="82">
        <f t="shared" si="3"/>
        <v>0</v>
      </c>
      <c r="I18" s="82">
        <f t="shared" si="4"/>
        <v>0</v>
      </c>
      <c r="J18" s="88">
        <f t="shared" si="11"/>
        <v>0</v>
      </c>
      <c r="K18" s="90">
        <f t="shared" si="12"/>
        <v>0</v>
      </c>
      <c r="L18" s="88">
        <f t="shared" si="5"/>
        <v>0</v>
      </c>
      <c r="M18" s="88">
        <f t="shared" si="13"/>
        <v>0</v>
      </c>
      <c r="N18" s="90">
        <f t="shared" si="14"/>
        <v>0</v>
      </c>
      <c r="O18" s="88">
        <f t="shared" si="15"/>
        <v>0</v>
      </c>
      <c r="P18" s="88">
        <f t="shared" si="16"/>
        <v>0</v>
      </c>
      <c r="Q18" s="90">
        <f t="shared" si="17"/>
        <v>0</v>
      </c>
      <c r="R18" s="102"/>
      <c r="S18" s="88"/>
      <c r="T18" s="88"/>
      <c r="U18" s="88"/>
      <c r="V18" s="88"/>
      <c r="W18" s="88"/>
      <c r="X18" s="88"/>
      <c r="Y18" s="88"/>
      <c r="Z18" s="88"/>
      <c r="AA18" s="88"/>
      <c r="AB18" s="88"/>
      <c r="AC18" s="88"/>
      <c r="AD18" s="88"/>
      <c r="AE18" s="82">
        <v>0</v>
      </c>
      <c r="AF18" s="88">
        <f>SUMIF('2022 Budget Expenses Model'!$C:$C,'Summary by Department &amp; Categor'!$D18,'2022 Budget Expenses Model'!I:I)</f>
        <v>0</v>
      </c>
      <c r="AG18" s="88">
        <f>SUMIF('2022 Budget Expenses Model'!$C:$C,'Summary by Department &amp; Categor'!$D18,'2022 Budget Expenses Model'!J:J)</f>
        <v>0</v>
      </c>
      <c r="AH18" s="88">
        <f>SUMIF('2022 Budget Expenses Model'!$C:$C,'Summary by Department &amp; Categor'!$D18,'2022 Budget Expenses Model'!K:K)</f>
        <v>0</v>
      </c>
      <c r="AI18" s="88">
        <f>SUMIF('2022 Budget Expenses Model'!$C:$C,'Summary by Department &amp; Categor'!$D18,'2022 Budget Expenses Model'!L:L)</f>
        <v>0</v>
      </c>
      <c r="AJ18" s="88">
        <f>SUMIF('2022 Budget Expenses Model'!$C:$C,'Summary by Department &amp; Categor'!$D18,'2022 Budget Expenses Model'!M:M)</f>
        <v>0</v>
      </c>
      <c r="AK18" s="88">
        <f>SUMIF('2022 Budget Expenses Model'!$C:$C,'Summary by Department &amp; Categor'!$D18,'2022 Budget Expenses Model'!N:N)</f>
        <v>0</v>
      </c>
      <c r="AL18" s="88">
        <f>SUMIF('2022 Budget Expenses Model'!$C:$C,'Summary by Department &amp; Categor'!$D18,'2022 Budget Expenses Model'!O:O)</f>
        <v>0</v>
      </c>
      <c r="AM18" s="88">
        <f>SUMIF('2022 Budget Expenses Model'!$C:$C,'Summary by Department &amp; Categor'!$D18,'2022 Budget Expenses Model'!P:P)</f>
        <v>0</v>
      </c>
      <c r="AN18" s="88">
        <f>SUMIF('2022 Budget Expenses Model'!$C:$C,'Summary by Department &amp; Categor'!$D18,'2022 Budget Expenses Model'!Q:Q)</f>
        <v>0</v>
      </c>
      <c r="AO18" s="88">
        <f>SUMIF('2022 Budget Expenses Model'!$C:$C,'Summary by Department &amp; Categor'!$D18,'2022 Budget Expenses Model'!R:R)</f>
        <v>0</v>
      </c>
      <c r="AP18" s="88">
        <f>SUMIF('2022 Budget Expenses Model'!$C:$C,'Summary by Department &amp; Categor'!$D18,'2022 Budget Expenses Model'!S:S)</f>
        <v>0</v>
      </c>
      <c r="AQ18" s="88">
        <f>SUMIF('2022 Budget Expenses Model'!$C:$C,'Summary by Department &amp; Categor'!$D18,'2022 Budget Expenses Model'!T:T)</f>
        <v>0</v>
      </c>
      <c r="AR18" s="88">
        <f t="shared" si="18"/>
        <v>0</v>
      </c>
      <c r="AS18" s="88">
        <f t="shared" si="19"/>
        <v>0</v>
      </c>
      <c r="AT18" s="90">
        <f t="shared" si="20"/>
        <v>0</v>
      </c>
      <c r="AU18" s="88"/>
      <c r="AV18" s="88"/>
      <c r="AW18" s="88"/>
      <c r="AX18" s="88"/>
      <c r="AY18" s="88"/>
      <c r="AZ18" s="88"/>
      <c r="BA18" s="88"/>
      <c r="BB18" s="88"/>
      <c r="BC18" s="88"/>
      <c r="BD18" s="88"/>
      <c r="BE18" s="88"/>
      <c r="BF18" s="88"/>
      <c r="BG18" s="88">
        <f t="shared" si="21"/>
        <v>0</v>
      </c>
      <c r="BH18" s="88">
        <f t="shared" si="22"/>
        <v>0</v>
      </c>
      <c r="BI18" s="90">
        <f t="shared" si="23"/>
        <v>0</v>
      </c>
      <c r="BJ18" s="103"/>
      <c r="BK18" s="88">
        <f t="shared" si="24"/>
        <v>0</v>
      </c>
      <c r="BL18" s="104"/>
      <c r="BM18" s="101"/>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row>
    <row r="19" spans="2:150" s="94" customFormat="1" ht="18.75" collapsed="1" thickBot="1" x14ac:dyDescent="0.4">
      <c r="F19" s="121" t="s">
        <v>214</v>
      </c>
      <c r="G19" s="14"/>
      <c r="H19" s="82"/>
      <c r="I19" s="82"/>
      <c r="J19" s="88"/>
      <c r="K19" s="90"/>
      <c r="L19" s="88"/>
      <c r="M19" s="88"/>
      <c r="N19" s="90"/>
      <c r="O19" s="88"/>
      <c r="P19" s="88"/>
      <c r="Q19" s="90"/>
      <c r="R19" s="102"/>
      <c r="S19" s="88"/>
      <c r="T19" s="88"/>
      <c r="U19" s="88"/>
      <c r="V19" s="88"/>
      <c r="W19" s="88"/>
      <c r="X19" s="88"/>
      <c r="Y19" s="88"/>
      <c r="Z19" s="88"/>
      <c r="AA19" s="88"/>
      <c r="AB19" s="88"/>
      <c r="AC19" s="88"/>
      <c r="AD19" s="88"/>
      <c r="AE19" s="82"/>
      <c r="AF19" s="88"/>
      <c r="AG19" s="88"/>
      <c r="AH19" s="88"/>
      <c r="AI19" s="88"/>
      <c r="AJ19" s="88"/>
      <c r="AK19" s="88"/>
      <c r="AL19" s="88"/>
      <c r="AM19" s="88"/>
      <c r="AN19" s="88"/>
      <c r="AO19" s="88"/>
      <c r="AP19" s="88"/>
      <c r="AQ19" s="88"/>
      <c r="AR19" s="88"/>
      <c r="AS19" s="88"/>
      <c r="AT19" s="90"/>
      <c r="AU19" s="88"/>
      <c r="AV19" s="88"/>
      <c r="AW19" s="88"/>
      <c r="AX19" s="88"/>
      <c r="AY19" s="88"/>
      <c r="AZ19" s="88"/>
      <c r="BA19" s="88"/>
      <c r="BB19" s="88"/>
      <c r="BC19" s="88"/>
      <c r="BD19" s="88"/>
      <c r="BE19" s="88"/>
      <c r="BF19" s="88"/>
      <c r="BG19" s="88"/>
      <c r="BH19" s="88"/>
      <c r="BI19" s="90"/>
      <c r="BJ19" s="103"/>
      <c r="BK19" s="88"/>
      <c r="BL19" s="104"/>
      <c r="BM19" s="101"/>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row>
    <row r="20" spans="2:150" s="87" customFormat="1" ht="15" thickBot="1" x14ac:dyDescent="0.35">
      <c r="B20" s="197"/>
      <c r="C20" s="197"/>
      <c r="D20" s="197"/>
      <c r="F20" s="11" t="s">
        <v>205</v>
      </c>
      <c r="G20" s="12"/>
      <c r="H20" s="82">
        <f t="shared" ref="H20:H51" si="25">INDEX($S20:$AD20,MATCH($H$9,$S$9:$AD$9,0))</f>
        <v>0</v>
      </c>
      <c r="I20" s="82">
        <f t="shared" ref="I20:I50" si="26">INDEX($AF20:$AQ20,MATCH($I$9,$AF$9:$AQ$9,0))</f>
        <v>20122.916666666668</v>
      </c>
      <c r="J20" s="82">
        <f t="shared" si="11"/>
        <v>-20122.916666666668</v>
      </c>
      <c r="K20" s="83">
        <f t="shared" si="12"/>
        <v>-1</v>
      </c>
      <c r="L20" s="82">
        <f t="shared" si="5"/>
        <v>0</v>
      </c>
      <c r="M20" s="82">
        <f t="shared" si="13"/>
        <v>0</v>
      </c>
      <c r="N20" s="83">
        <f t="shared" si="14"/>
        <v>0</v>
      </c>
      <c r="O20" s="82">
        <f t="shared" si="15"/>
        <v>0</v>
      </c>
      <c r="P20" s="82">
        <f t="shared" si="16"/>
        <v>0</v>
      </c>
      <c r="Q20" s="83">
        <f t="shared" si="17"/>
        <v>0</v>
      </c>
      <c r="R20" s="98"/>
      <c r="S20" s="82">
        <f>SUM(S21:S28)</f>
        <v>0</v>
      </c>
      <c r="T20" s="82">
        <f t="shared" ref="T20:AD20" si="27">SUM(T21:T28)</f>
        <v>0</v>
      </c>
      <c r="U20" s="82">
        <f t="shared" si="27"/>
        <v>0</v>
      </c>
      <c r="V20" s="82">
        <f t="shared" si="27"/>
        <v>0</v>
      </c>
      <c r="W20" s="82">
        <f t="shared" si="27"/>
        <v>0</v>
      </c>
      <c r="X20" s="82">
        <f t="shared" si="27"/>
        <v>0</v>
      </c>
      <c r="Y20" s="82">
        <f t="shared" si="27"/>
        <v>0</v>
      </c>
      <c r="Z20" s="82">
        <f t="shared" si="27"/>
        <v>0</v>
      </c>
      <c r="AA20" s="82">
        <f t="shared" si="27"/>
        <v>0</v>
      </c>
      <c r="AB20" s="82">
        <f t="shared" si="27"/>
        <v>0</v>
      </c>
      <c r="AC20" s="82">
        <f t="shared" si="27"/>
        <v>0</v>
      </c>
      <c r="AD20" s="82">
        <f t="shared" si="27"/>
        <v>0</v>
      </c>
      <c r="AE20" s="82">
        <v>209264.31</v>
      </c>
      <c r="AF20" s="82">
        <f>SUM(AF21:AF28)</f>
        <v>19572.916666666668</v>
      </c>
      <c r="AG20" s="82">
        <f t="shared" ref="AG20:AQ20" si="28">SUM(AG21:AG28)</f>
        <v>19572.916666666668</v>
      </c>
      <c r="AH20" s="82">
        <f t="shared" si="28"/>
        <v>21122.916666666668</v>
      </c>
      <c r="AI20" s="82">
        <f t="shared" si="28"/>
        <v>19572.916666666668</v>
      </c>
      <c r="AJ20" s="82">
        <f t="shared" si="28"/>
        <v>19572.916666666668</v>
      </c>
      <c r="AK20" s="82">
        <f t="shared" si="28"/>
        <v>20122.916666666668</v>
      </c>
      <c r="AL20" s="82">
        <f t="shared" si="28"/>
        <v>19572.916666666668</v>
      </c>
      <c r="AM20" s="82">
        <f t="shared" si="28"/>
        <v>19572.916666666668</v>
      </c>
      <c r="AN20" s="82">
        <f t="shared" si="28"/>
        <v>19572.916666666668</v>
      </c>
      <c r="AO20" s="82">
        <f t="shared" si="28"/>
        <v>20122.916666666668</v>
      </c>
      <c r="AP20" s="82">
        <f t="shared" si="28"/>
        <v>20572.916666666668</v>
      </c>
      <c r="AQ20" s="82">
        <f t="shared" si="28"/>
        <v>20122.916666666668</v>
      </c>
      <c r="AR20" s="82">
        <f t="shared" si="18"/>
        <v>239074.99999999997</v>
      </c>
      <c r="AS20" s="82">
        <f t="shared" si="19"/>
        <v>-29810.689999999973</v>
      </c>
      <c r="AT20" s="83">
        <f t="shared" si="20"/>
        <v>-0.12469179127888728</v>
      </c>
      <c r="AU20" s="82">
        <f>SUM(AU21:AU28)</f>
        <v>0</v>
      </c>
      <c r="AV20" s="82">
        <f t="shared" ref="AV20:BF20" si="29">SUM(AV21:AV28)</f>
        <v>0</v>
      </c>
      <c r="AW20" s="82">
        <f t="shared" si="29"/>
        <v>0</v>
      </c>
      <c r="AX20" s="82">
        <f t="shared" si="29"/>
        <v>0</v>
      </c>
      <c r="AY20" s="82">
        <f t="shared" si="29"/>
        <v>0</v>
      </c>
      <c r="AZ20" s="82">
        <f t="shared" si="29"/>
        <v>0</v>
      </c>
      <c r="BA20" s="82">
        <f t="shared" si="29"/>
        <v>0</v>
      </c>
      <c r="BB20" s="82">
        <f t="shared" si="29"/>
        <v>0</v>
      </c>
      <c r="BC20" s="82">
        <f t="shared" si="29"/>
        <v>0</v>
      </c>
      <c r="BD20" s="82">
        <f t="shared" si="29"/>
        <v>0</v>
      </c>
      <c r="BE20" s="82">
        <f t="shared" si="29"/>
        <v>0</v>
      </c>
      <c r="BF20" s="82">
        <f t="shared" si="29"/>
        <v>0</v>
      </c>
      <c r="BG20" s="82">
        <f t="shared" si="21"/>
        <v>0</v>
      </c>
      <c r="BH20" s="82">
        <f t="shared" si="22"/>
        <v>209264.31</v>
      </c>
      <c r="BI20" s="83">
        <f t="shared" si="23"/>
        <v>0</v>
      </c>
      <c r="BJ20" s="99"/>
      <c r="BK20" s="82">
        <f t="shared" ref="BK20" si="30">SUM(BK21:BK28)</f>
        <v>239074.99999999997</v>
      </c>
      <c r="BL20" s="100"/>
      <c r="BM20" s="101"/>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row>
    <row r="21" spans="2:150" s="87" customFormat="1" ht="15" hidden="1" outlineLevel="1" thickBot="1" x14ac:dyDescent="0.35">
      <c r="B21" s="197" t="s">
        <v>212</v>
      </c>
      <c r="C21" s="87">
        <v>2</v>
      </c>
      <c r="D21" s="87" t="str">
        <f>CONCATENATE(B21,C21)</f>
        <v>012</v>
      </c>
      <c r="F21" s="13" t="s">
        <v>233</v>
      </c>
      <c r="G21" s="12"/>
      <c r="H21" s="88">
        <f t="shared" si="25"/>
        <v>0</v>
      </c>
      <c r="I21" s="88">
        <f t="shared" si="26"/>
        <v>16666.666666666668</v>
      </c>
      <c r="J21" s="88">
        <f t="shared" si="11"/>
        <v>-16666.666666666668</v>
      </c>
      <c r="K21" s="90">
        <f t="shared" si="12"/>
        <v>-1</v>
      </c>
      <c r="L21" s="88">
        <f t="shared" si="5"/>
        <v>0</v>
      </c>
      <c r="M21" s="88">
        <f t="shared" si="13"/>
        <v>0</v>
      </c>
      <c r="N21" s="90">
        <f t="shared" si="14"/>
        <v>0</v>
      </c>
      <c r="O21" s="88">
        <f t="shared" si="15"/>
        <v>0</v>
      </c>
      <c r="P21" s="88">
        <f t="shared" si="16"/>
        <v>0</v>
      </c>
      <c r="Q21" s="90">
        <f t="shared" si="17"/>
        <v>0</v>
      </c>
      <c r="R21" s="98"/>
      <c r="S21" s="82"/>
      <c r="T21" s="82"/>
      <c r="U21" s="82"/>
      <c r="V21" s="82"/>
      <c r="W21" s="82"/>
      <c r="X21" s="82"/>
      <c r="Y21" s="82"/>
      <c r="Z21" s="82"/>
      <c r="AA21" s="82"/>
      <c r="AB21" s="82"/>
      <c r="AC21" s="82"/>
      <c r="AD21" s="82"/>
      <c r="AE21" s="82">
        <v>200000.04</v>
      </c>
      <c r="AF21" s="88">
        <f>SUMIF('2022 Budget Expenses Model'!$C:$C,'Summary by Department &amp; Categor'!$D21,'2022 Budget Expenses Model'!I:I)</f>
        <v>16666.666666666668</v>
      </c>
      <c r="AG21" s="88">
        <f>SUMIF('2022 Budget Expenses Model'!$C:$C,'Summary by Department &amp; Categor'!$D21,'2022 Budget Expenses Model'!J:J)</f>
        <v>16666.666666666668</v>
      </c>
      <c r="AH21" s="88">
        <f>SUMIF('2022 Budget Expenses Model'!$C:$C,'Summary by Department &amp; Categor'!$D21,'2022 Budget Expenses Model'!K:K)</f>
        <v>16666.666666666668</v>
      </c>
      <c r="AI21" s="88">
        <f>SUMIF('2022 Budget Expenses Model'!$C:$C,'Summary by Department &amp; Categor'!$D21,'2022 Budget Expenses Model'!L:L)</f>
        <v>16666.666666666668</v>
      </c>
      <c r="AJ21" s="88">
        <f>SUMIF('2022 Budget Expenses Model'!$C:$C,'Summary by Department &amp; Categor'!$D21,'2022 Budget Expenses Model'!M:M)</f>
        <v>16666.666666666668</v>
      </c>
      <c r="AK21" s="88">
        <f>SUMIF('2022 Budget Expenses Model'!$C:$C,'Summary by Department &amp; Categor'!$D21,'2022 Budget Expenses Model'!N:N)</f>
        <v>16666.666666666668</v>
      </c>
      <c r="AL21" s="88">
        <f>SUMIF('2022 Budget Expenses Model'!$C:$C,'Summary by Department &amp; Categor'!$D21,'2022 Budget Expenses Model'!O:O)</f>
        <v>16666.666666666668</v>
      </c>
      <c r="AM21" s="88">
        <f>SUMIF('2022 Budget Expenses Model'!$C:$C,'Summary by Department &amp; Categor'!$D21,'2022 Budget Expenses Model'!P:P)</f>
        <v>16666.666666666668</v>
      </c>
      <c r="AN21" s="88">
        <f>SUMIF('2022 Budget Expenses Model'!$C:$C,'Summary by Department &amp; Categor'!$D21,'2022 Budget Expenses Model'!Q:Q)</f>
        <v>16666.666666666668</v>
      </c>
      <c r="AO21" s="88">
        <f>SUMIF('2022 Budget Expenses Model'!$C:$C,'Summary by Department &amp; Categor'!$D21,'2022 Budget Expenses Model'!R:R)</f>
        <v>16666.666666666668</v>
      </c>
      <c r="AP21" s="88">
        <f>SUMIF('2022 Budget Expenses Model'!$C:$C,'Summary by Department &amp; Categor'!$D21,'2022 Budget Expenses Model'!S:S)</f>
        <v>16666.666666666668</v>
      </c>
      <c r="AQ21" s="88">
        <f>SUMIF('2022 Budget Expenses Model'!$C:$C,'Summary by Department &amp; Categor'!$D21,'2022 Budget Expenses Model'!T:T)</f>
        <v>16666.666666666668</v>
      </c>
      <c r="AR21" s="88">
        <f t="shared" si="18"/>
        <v>199999.99999999997</v>
      </c>
      <c r="AS21" s="88">
        <f t="shared" si="19"/>
        <v>4.0000000037252903E-2</v>
      </c>
      <c r="AT21" s="90">
        <f t="shared" si="20"/>
        <v>2.0000000018626455E-7</v>
      </c>
      <c r="AU21" s="82"/>
      <c r="AV21" s="82"/>
      <c r="AW21" s="82"/>
      <c r="AX21" s="82"/>
      <c r="AY21" s="82"/>
      <c r="AZ21" s="82"/>
      <c r="BA21" s="82"/>
      <c r="BB21" s="82"/>
      <c r="BC21" s="82"/>
      <c r="BD21" s="82"/>
      <c r="BE21" s="82"/>
      <c r="BF21" s="82"/>
      <c r="BG21" s="88">
        <f t="shared" si="21"/>
        <v>0</v>
      </c>
      <c r="BH21" s="88">
        <f t="shared" si="22"/>
        <v>200000.04</v>
      </c>
      <c r="BI21" s="90">
        <f t="shared" si="23"/>
        <v>0</v>
      </c>
      <c r="BJ21" s="99"/>
      <c r="BK21" s="88">
        <f t="shared" si="24"/>
        <v>199999.99999999997</v>
      </c>
      <c r="BL21" s="100"/>
      <c r="BM21" s="101"/>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row>
    <row r="22" spans="2:150" s="87" customFormat="1" ht="15" hidden="1" outlineLevel="1" thickBot="1" x14ac:dyDescent="0.35">
      <c r="B22" s="197" t="s">
        <v>212</v>
      </c>
      <c r="C22" s="87">
        <v>1</v>
      </c>
      <c r="D22" s="87" t="str">
        <f t="shared" ref="D22:D85" si="31">CONCATENATE(B22,C22)</f>
        <v>011</v>
      </c>
      <c r="F22" s="13" t="s">
        <v>440</v>
      </c>
      <c r="G22" s="12"/>
      <c r="H22" s="88">
        <f t="shared" si="25"/>
        <v>0</v>
      </c>
      <c r="I22" s="88">
        <f t="shared" si="26"/>
        <v>0</v>
      </c>
      <c r="J22" s="88">
        <f t="shared" si="11"/>
        <v>0</v>
      </c>
      <c r="K22" s="90">
        <f t="shared" si="12"/>
        <v>0</v>
      </c>
      <c r="L22" s="88">
        <f t="shared" si="5"/>
        <v>0</v>
      </c>
      <c r="M22" s="88">
        <f t="shared" si="13"/>
        <v>0</v>
      </c>
      <c r="N22" s="90">
        <f t="shared" si="14"/>
        <v>0</v>
      </c>
      <c r="O22" s="88">
        <f t="shared" si="15"/>
        <v>0</v>
      </c>
      <c r="P22" s="88">
        <f t="shared" si="16"/>
        <v>0</v>
      </c>
      <c r="Q22" s="90">
        <f t="shared" si="17"/>
        <v>0</v>
      </c>
      <c r="R22" s="98"/>
      <c r="S22" s="82"/>
      <c r="T22" s="82"/>
      <c r="U22" s="82"/>
      <c r="V22" s="82"/>
      <c r="W22" s="82"/>
      <c r="X22" s="82"/>
      <c r="Y22" s="82"/>
      <c r="Z22" s="82"/>
      <c r="AA22" s="82"/>
      <c r="AB22" s="82"/>
      <c r="AC22" s="82"/>
      <c r="AD22" s="82"/>
      <c r="AE22" s="82">
        <v>329.2</v>
      </c>
      <c r="AF22" s="88">
        <f>SUMIF('2022 Budget Expenses Model'!$C:$C,'Summary by Department &amp; Categor'!$D22,'2022 Budget Expenses Model'!I:I)</f>
        <v>0</v>
      </c>
      <c r="AG22" s="88">
        <f>SUMIF('2022 Budget Expenses Model'!$C:$C,'Summary by Department &amp; Categor'!$D22,'2022 Budget Expenses Model'!J:J)</f>
        <v>0</v>
      </c>
      <c r="AH22" s="88">
        <f>SUMIF('2022 Budget Expenses Model'!$C:$C,'Summary by Department &amp; Categor'!$D22,'2022 Budget Expenses Model'!K:K)</f>
        <v>0</v>
      </c>
      <c r="AI22" s="88">
        <f>SUMIF('2022 Budget Expenses Model'!$C:$C,'Summary by Department &amp; Categor'!$D22,'2022 Budget Expenses Model'!L:L)</f>
        <v>0</v>
      </c>
      <c r="AJ22" s="88">
        <f>SUMIF('2022 Budget Expenses Model'!$C:$C,'Summary by Department &amp; Categor'!$D22,'2022 Budget Expenses Model'!M:M)</f>
        <v>0</v>
      </c>
      <c r="AK22" s="88">
        <f>SUMIF('2022 Budget Expenses Model'!$C:$C,'Summary by Department &amp; Categor'!$D22,'2022 Budget Expenses Model'!N:N)</f>
        <v>0</v>
      </c>
      <c r="AL22" s="88">
        <f>SUMIF('2022 Budget Expenses Model'!$C:$C,'Summary by Department &amp; Categor'!$D22,'2022 Budget Expenses Model'!O:O)</f>
        <v>0</v>
      </c>
      <c r="AM22" s="88">
        <f>SUMIF('2022 Budget Expenses Model'!$C:$C,'Summary by Department &amp; Categor'!$D22,'2022 Budget Expenses Model'!P:P)</f>
        <v>0</v>
      </c>
      <c r="AN22" s="88">
        <f>SUMIF('2022 Budget Expenses Model'!$C:$C,'Summary by Department &amp; Categor'!$D22,'2022 Budget Expenses Model'!Q:Q)</f>
        <v>0</v>
      </c>
      <c r="AO22" s="88">
        <f>SUMIF('2022 Budget Expenses Model'!$C:$C,'Summary by Department &amp; Categor'!$D22,'2022 Budget Expenses Model'!R:R)</f>
        <v>0</v>
      </c>
      <c r="AP22" s="88">
        <f>SUMIF('2022 Budget Expenses Model'!$C:$C,'Summary by Department &amp; Categor'!$D22,'2022 Budget Expenses Model'!S:S)</f>
        <v>0</v>
      </c>
      <c r="AQ22" s="88">
        <f>SUMIF('2022 Budget Expenses Model'!$C:$C,'Summary by Department &amp; Categor'!$D22,'2022 Budget Expenses Model'!T:T)</f>
        <v>0</v>
      </c>
      <c r="AR22" s="88">
        <f t="shared" si="18"/>
        <v>0</v>
      </c>
      <c r="AS22" s="88">
        <f t="shared" si="19"/>
        <v>329.2</v>
      </c>
      <c r="AT22" s="90">
        <f t="shared" si="20"/>
        <v>0</v>
      </c>
      <c r="AU22" s="82"/>
      <c r="AV22" s="82"/>
      <c r="AW22" s="82"/>
      <c r="AX22" s="82"/>
      <c r="AY22" s="82"/>
      <c r="AZ22" s="82"/>
      <c r="BA22" s="82"/>
      <c r="BB22" s="82"/>
      <c r="BC22" s="82"/>
      <c r="BD22" s="82"/>
      <c r="BE22" s="82"/>
      <c r="BF22" s="82"/>
      <c r="BG22" s="88">
        <f t="shared" si="21"/>
        <v>0</v>
      </c>
      <c r="BH22" s="88">
        <f t="shared" si="22"/>
        <v>329.2</v>
      </c>
      <c r="BI22" s="90">
        <f t="shared" si="23"/>
        <v>0</v>
      </c>
      <c r="BJ22" s="99"/>
      <c r="BK22" s="88">
        <f t="shared" si="24"/>
        <v>0</v>
      </c>
      <c r="BL22" s="100"/>
      <c r="BM22" s="101"/>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row>
    <row r="23" spans="2:150" s="87" customFormat="1" ht="15" hidden="1" outlineLevel="1" thickBot="1" x14ac:dyDescent="0.35">
      <c r="B23" s="197" t="s">
        <v>212</v>
      </c>
      <c r="C23" s="87">
        <v>3</v>
      </c>
      <c r="D23" s="87" t="str">
        <f t="shared" si="31"/>
        <v>013</v>
      </c>
      <c r="F23" s="13" t="s">
        <v>238</v>
      </c>
      <c r="G23" s="12"/>
      <c r="H23" s="88">
        <f t="shared" si="25"/>
        <v>0</v>
      </c>
      <c r="I23" s="88">
        <f t="shared" si="26"/>
        <v>400</v>
      </c>
      <c r="J23" s="88">
        <f t="shared" si="11"/>
        <v>-400</v>
      </c>
      <c r="K23" s="90">
        <f t="shared" si="12"/>
        <v>-1</v>
      </c>
      <c r="L23" s="88">
        <f t="shared" si="5"/>
        <v>0</v>
      </c>
      <c r="M23" s="88">
        <f t="shared" si="13"/>
        <v>0</v>
      </c>
      <c r="N23" s="90">
        <f t="shared" si="14"/>
        <v>0</v>
      </c>
      <c r="O23" s="88">
        <f t="shared" si="15"/>
        <v>0</v>
      </c>
      <c r="P23" s="88">
        <f t="shared" si="16"/>
        <v>0</v>
      </c>
      <c r="Q23" s="90">
        <f t="shared" si="17"/>
        <v>0</v>
      </c>
      <c r="R23" s="98"/>
      <c r="S23" s="82"/>
      <c r="T23" s="82"/>
      <c r="U23" s="82"/>
      <c r="V23" s="82"/>
      <c r="W23" s="82"/>
      <c r="X23" s="82"/>
      <c r="Y23" s="82"/>
      <c r="Z23" s="82"/>
      <c r="AA23" s="82"/>
      <c r="AB23" s="82"/>
      <c r="AC23" s="82"/>
      <c r="AD23" s="82"/>
      <c r="AE23" s="82">
        <v>2971.92</v>
      </c>
      <c r="AF23" s="88">
        <f>SUMIF('2022 Budget Expenses Model'!$C:$C,'Summary by Department &amp; Categor'!$D23,'2022 Budget Expenses Model'!I:I)</f>
        <v>400</v>
      </c>
      <c r="AG23" s="88">
        <f>SUMIF('2022 Budget Expenses Model'!$C:$C,'Summary by Department &amp; Categor'!$D23,'2022 Budget Expenses Model'!J:J)</f>
        <v>400</v>
      </c>
      <c r="AH23" s="88">
        <f>SUMIF('2022 Budget Expenses Model'!$C:$C,'Summary by Department &amp; Categor'!$D23,'2022 Budget Expenses Model'!K:K)</f>
        <v>400</v>
      </c>
      <c r="AI23" s="88">
        <f>SUMIF('2022 Budget Expenses Model'!$C:$C,'Summary by Department &amp; Categor'!$D23,'2022 Budget Expenses Model'!L:L)</f>
        <v>400</v>
      </c>
      <c r="AJ23" s="88">
        <f>SUMIF('2022 Budget Expenses Model'!$C:$C,'Summary by Department &amp; Categor'!$D23,'2022 Budget Expenses Model'!M:M)</f>
        <v>400</v>
      </c>
      <c r="AK23" s="88">
        <f>SUMIF('2022 Budget Expenses Model'!$C:$C,'Summary by Department &amp; Categor'!$D23,'2022 Budget Expenses Model'!N:N)</f>
        <v>400</v>
      </c>
      <c r="AL23" s="88">
        <f>SUMIF('2022 Budget Expenses Model'!$C:$C,'Summary by Department &amp; Categor'!$D23,'2022 Budget Expenses Model'!O:O)</f>
        <v>400</v>
      </c>
      <c r="AM23" s="88">
        <f>SUMIF('2022 Budget Expenses Model'!$C:$C,'Summary by Department &amp; Categor'!$D23,'2022 Budget Expenses Model'!P:P)</f>
        <v>400</v>
      </c>
      <c r="AN23" s="88">
        <f>SUMIF('2022 Budget Expenses Model'!$C:$C,'Summary by Department &amp; Categor'!$D23,'2022 Budget Expenses Model'!Q:Q)</f>
        <v>400</v>
      </c>
      <c r="AO23" s="88">
        <f>SUMIF('2022 Budget Expenses Model'!$C:$C,'Summary by Department &amp; Categor'!$D23,'2022 Budget Expenses Model'!R:R)</f>
        <v>400</v>
      </c>
      <c r="AP23" s="88">
        <f>SUMIF('2022 Budget Expenses Model'!$C:$C,'Summary by Department &amp; Categor'!$D23,'2022 Budget Expenses Model'!S:S)</f>
        <v>400</v>
      </c>
      <c r="AQ23" s="88">
        <f>SUMIF('2022 Budget Expenses Model'!$C:$C,'Summary by Department &amp; Categor'!$D23,'2022 Budget Expenses Model'!T:T)</f>
        <v>400</v>
      </c>
      <c r="AR23" s="88">
        <f t="shared" si="18"/>
        <v>4800</v>
      </c>
      <c r="AS23" s="88">
        <f t="shared" si="19"/>
        <v>-1828.08</v>
      </c>
      <c r="AT23" s="90">
        <f t="shared" si="20"/>
        <v>-0.38084999999999997</v>
      </c>
      <c r="AU23" s="82"/>
      <c r="AV23" s="82"/>
      <c r="AW23" s="82"/>
      <c r="AX23" s="82"/>
      <c r="AY23" s="82"/>
      <c r="AZ23" s="82"/>
      <c r="BA23" s="82"/>
      <c r="BB23" s="82"/>
      <c r="BC23" s="82"/>
      <c r="BD23" s="82"/>
      <c r="BE23" s="82"/>
      <c r="BF23" s="82"/>
      <c r="BG23" s="88">
        <f t="shared" si="21"/>
        <v>0</v>
      </c>
      <c r="BH23" s="88">
        <f t="shared" si="22"/>
        <v>2971.92</v>
      </c>
      <c r="BI23" s="90">
        <f t="shared" si="23"/>
        <v>0</v>
      </c>
      <c r="BJ23" s="99"/>
      <c r="BK23" s="88">
        <f t="shared" si="24"/>
        <v>4800</v>
      </c>
      <c r="BL23" s="100"/>
      <c r="BM23" s="101"/>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row>
    <row r="24" spans="2:150" s="87" customFormat="1" ht="15" hidden="1" outlineLevel="1" thickBot="1" x14ac:dyDescent="0.35">
      <c r="B24" s="197" t="s">
        <v>212</v>
      </c>
      <c r="C24" s="87">
        <v>4</v>
      </c>
      <c r="D24" s="87" t="str">
        <f t="shared" si="31"/>
        <v>014</v>
      </c>
      <c r="F24" s="13" t="s">
        <v>244</v>
      </c>
      <c r="G24" s="12"/>
      <c r="H24" s="88">
        <f t="shared" si="25"/>
        <v>0</v>
      </c>
      <c r="I24" s="88">
        <f t="shared" si="26"/>
        <v>2506.25</v>
      </c>
      <c r="J24" s="88">
        <f t="shared" si="11"/>
        <v>-2506.25</v>
      </c>
      <c r="K24" s="90">
        <f t="shared" si="12"/>
        <v>-1</v>
      </c>
      <c r="L24" s="88">
        <f t="shared" si="5"/>
        <v>0</v>
      </c>
      <c r="M24" s="88">
        <f t="shared" si="13"/>
        <v>0</v>
      </c>
      <c r="N24" s="90">
        <f t="shared" si="14"/>
        <v>0</v>
      </c>
      <c r="O24" s="88">
        <f t="shared" si="15"/>
        <v>0</v>
      </c>
      <c r="P24" s="88">
        <f t="shared" si="16"/>
        <v>0</v>
      </c>
      <c r="Q24" s="90">
        <f t="shared" si="17"/>
        <v>0</v>
      </c>
      <c r="R24" s="98"/>
      <c r="S24" s="82"/>
      <c r="T24" s="82"/>
      <c r="U24" s="82"/>
      <c r="V24" s="82"/>
      <c r="W24" s="82"/>
      <c r="X24" s="82"/>
      <c r="Y24" s="82"/>
      <c r="Z24" s="82"/>
      <c r="AA24" s="82"/>
      <c r="AB24" s="82"/>
      <c r="AC24" s="82"/>
      <c r="AD24" s="82"/>
      <c r="AE24" s="82">
        <v>5963.15</v>
      </c>
      <c r="AF24" s="88">
        <f>SUMIF('2022 Budget Expenses Model'!$C:$C,'Summary by Department &amp; Categor'!$D24,'2022 Budget Expenses Model'!I:I)</f>
        <v>2506.25</v>
      </c>
      <c r="AG24" s="88">
        <f>SUMIF('2022 Budget Expenses Model'!$C:$C,'Summary by Department &amp; Categor'!$D24,'2022 Budget Expenses Model'!J:J)</f>
        <v>2506.25</v>
      </c>
      <c r="AH24" s="88">
        <f>SUMIF('2022 Budget Expenses Model'!$C:$C,'Summary by Department &amp; Categor'!$D24,'2022 Budget Expenses Model'!K:K)</f>
        <v>2506.25</v>
      </c>
      <c r="AI24" s="88">
        <f>SUMIF('2022 Budget Expenses Model'!$C:$C,'Summary by Department &amp; Categor'!$D24,'2022 Budget Expenses Model'!L:L)</f>
        <v>2506.25</v>
      </c>
      <c r="AJ24" s="88">
        <f>SUMIF('2022 Budget Expenses Model'!$C:$C,'Summary by Department &amp; Categor'!$D24,'2022 Budget Expenses Model'!M:M)</f>
        <v>2506.25</v>
      </c>
      <c r="AK24" s="88">
        <f>SUMIF('2022 Budget Expenses Model'!$C:$C,'Summary by Department &amp; Categor'!$D24,'2022 Budget Expenses Model'!N:N)</f>
        <v>2506.25</v>
      </c>
      <c r="AL24" s="88">
        <f>SUMIF('2022 Budget Expenses Model'!$C:$C,'Summary by Department &amp; Categor'!$D24,'2022 Budget Expenses Model'!O:O)</f>
        <v>2506.25</v>
      </c>
      <c r="AM24" s="88">
        <f>SUMIF('2022 Budget Expenses Model'!$C:$C,'Summary by Department &amp; Categor'!$D24,'2022 Budget Expenses Model'!P:P)</f>
        <v>2506.25</v>
      </c>
      <c r="AN24" s="88">
        <f>SUMIF('2022 Budget Expenses Model'!$C:$C,'Summary by Department &amp; Categor'!$D24,'2022 Budget Expenses Model'!Q:Q)</f>
        <v>2506.25</v>
      </c>
      <c r="AO24" s="88">
        <f>SUMIF('2022 Budget Expenses Model'!$C:$C,'Summary by Department &amp; Categor'!$D24,'2022 Budget Expenses Model'!R:R)</f>
        <v>2506.25</v>
      </c>
      <c r="AP24" s="88">
        <f>SUMIF('2022 Budget Expenses Model'!$C:$C,'Summary by Department &amp; Categor'!$D24,'2022 Budget Expenses Model'!S:S)</f>
        <v>2506.25</v>
      </c>
      <c r="AQ24" s="88">
        <f>SUMIF('2022 Budget Expenses Model'!$C:$C,'Summary by Department &amp; Categor'!$D24,'2022 Budget Expenses Model'!T:T)</f>
        <v>2506.25</v>
      </c>
      <c r="AR24" s="88">
        <f t="shared" si="18"/>
        <v>30075</v>
      </c>
      <c r="AS24" s="88">
        <f t="shared" si="19"/>
        <v>-24111.85</v>
      </c>
      <c r="AT24" s="90">
        <f t="shared" si="20"/>
        <v>-0.80172402327514547</v>
      </c>
      <c r="AU24" s="82"/>
      <c r="AV24" s="82"/>
      <c r="AW24" s="82"/>
      <c r="AX24" s="82"/>
      <c r="AY24" s="82"/>
      <c r="AZ24" s="82"/>
      <c r="BA24" s="82"/>
      <c r="BB24" s="82"/>
      <c r="BC24" s="82"/>
      <c r="BD24" s="82"/>
      <c r="BE24" s="82"/>
      <c r="BF24" s="82"/>
      <c r="BG24" s="88">
        <f t="shared" si="21"/>
        <v>0</v>
      </c>
      <c r="BH24" s="88">
        <f t="shared" si="22"/>
        <v>5963.15</v>
      </c>
      <c r="BI24" s="90">
        <f t="shared" si="23"/>
        <v>0</v>
      </c>
      <c r="BJ24" s="99"/>
      <c r="BK24" s="88">
        <f t="shared" si="24"/>
        <v>30075</v>
      </c>
      <c r="BL24" s="100"/>
      <c r="BM24" s="101"/>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row>
    <row r="25" spans="2:150" s="87" customFormat="1" ht="15" hidden="1" outlineLevel="1" thickBot="1" x14ac:dyDescent="0.35">
      <c r="B25" s="197" t="s">
        <v>212</v>
      </c>
      <c r="C25" s="87">
        <v>5</v>
      </c>
      <c r="D25" s="87" t="str">
        <f t="shared" si="31"/>
        <v>015</v>
      </c>
      <c r="F25" s="13" t="s">
        <v>251</v>
      </c>
      <c r="G25" s="12"/>
      <c r="H25" s="88">
        <f t="shared" si="25"/>
        <v>0</v>
      </c>
      <c r="I25" s="88">
        <f t="shared" si="26"/>
        <v>0</v>
      </c>
      <c r="J25" s="88">
        <f t="shared" si="11"/>
        <v>0</v>
      </c>
      <c r="K25" s="90">
        <f t="shared" si="12"/>
        <v>0</v>
      </c>
      <c r="L25" s="88">
        <f t="shared" si="5"/>
        <v>0</v>
      </c>
      <c r="M25" s="88">
        <f t="shared" si="13"/>
        <v>0</v>
      </c>
      <c r="N25" s="90">
        <f t="shared" si="14"/>
        <v>0</v>
      </c>
      <c r="O25" s="88">
        <f t="shared" si="15"/>
        <v>0</v>
      </c>
      <c r="P25" s="88">
        <f t="shared" si="16"/>
        <v>0</v>
      </c>
      <c r="Q25" s="90">
        <f t="shared" si="17"/>
        <v>0</v>
      </c>
      <c r="R25" s="98"/>
      <c r="S25" s="82"/>
      <c r="T25" s="82"/>
      <c r="U25" s="82"/>
      <c r="V25" s="82"/>
      <c r="W25" s="82"/>
      <c r="X25" s="82"/>
      <c r="Y25" s="82"/>
      <c r="Z25" s="82"/>
      <c r="AA25" s="82"/>
      <c r="AB25" s="82"/>
      <c r="AC25" s="82"/>
      <c r="AD25" s="82"/>
      <c r="AE25" s="82">
        <v>0</v>
      </c>
      <c r="AF25" s="88">
        <f>SUMIF('2022 Budget Expenses Model'!$C:$C,'Summary by Department &amp; Categor'!$D25,'2022 Budget Expenses Model'!I:I)</f>
        <v>0</v>
      </c>
      <c r="AG25" s="88">
        <f>SUMIF('2022 Budget Expenses Model'!$C:$C,'Summary by Department &amp; Categor'!$D25,'2022 Budget Expenses Model'!J:J)</f>
        <v>0</v>
      </c>
      <c r="AH25" s="88">
        <f>SUMIF('2022 Budget Expenses Model'!$C:$C,'Summary by Department &amp; Categor'!$D25,'2022 Budget Expenses Model'!K:K)</f>
        <v>0</v>
      </c>
      <c r="AI25" s="88">
        <f>SUMIF('2022 Budget Expenses Model'!$C:$C,'Summary by Department &amp; Categor'!$D25,'2022 Budget Expenses Model'!L:L)</f>
        <v>0</v>
      </c>
      <c r="AJ25" s="88">
        <f>SUMIF('2022 Budget Expenses Model'!$C:$C,'Summary by Department &amp; Categor'!$D25,'2022 Budget Expenses Model'!M:M)</f>
        <v>0</v>
      </c>
      <c r="AK25" s="88">
        <f>SUMIF('2022 Budget Expenses Model'!$C:$C,'Summary by Department &amp; Categor'!$D25,'2022 Budget Expenses Model'!N:N)</f>
        <v>0</v>
      </c>
      <c r="AL25" s="88">
        <f>SUMIF('2022 Budget Expenses Model'!$C:$C,'Summary by Department &amp; Categor'!$D25,'2022 Budget Expenses Model'!O:O)</f>
        <v>0</v>
      </c>
      <c r="AM25" s="88">
        <f>SUMIF('2022 Budget Expenses Model'!$C:$C,'Summary by Department &amp; Categor'!$D25,'2022 Budget Expenses Model'!P:P)</f>
        <v>0</v>
      </c>
      <c r="AN25" s="88">
        <f>SUMIF('2022 Budget Expenses Model'!$C:$C,'Summary by Department &amp; Categor'!$D25,'2022 Budget Expenses Model'!Q:Q)</f>
        <v>0</v>
      </c>
      <c r="AO25" s="88">
        <f>SUMIF('2022 Budget Expenses Model'!$C:$C,'Summary by Department &amp; Categor'!$D25,'2022 Budget Expenses Model'!R:R)</f>
        <v>0</v>
      </c>
      <c r="AP25" s="88">
        <f>SUMIF('2022 Budget Expenses Model'!$C:$C,'Summary by Department &amp; Categor'!$D25,'2022 Budget Expenses Model'!S:S)</f>
        <v>0</v>
      </c>
      <c r="AQ25" s="88">
        <f>SUMIF('2022 Budget Expenses Model'!$C:$C,'Summary by Department &amp; Categor'!$D25,'2022 Budget Expenses Model'!T:T)</f>
        <v>0</v>
      </c>
      <c r="AR25" s="88">
        <f t="shared" si="18"/>
        <v>0</v>
      </c>
      <c r="AS25" s="88">
        <f t="shared" si="19"/>
        <v>0</v>
      </c>
      <c r="AT25" s="90">
        <f t="shared" si="20"/>
        <v>0</v>
      </c>
      <c r="AU25" s="82"/>
      <c r="AV25" s="82"/>
      <c r="AW25" s="82"/>
      <c r="AX25" s="82"/>
      <c r="AY25" s="82"/>
      <c r="AZ25" s="82"/>
      <c r="BA25" s="82"/>
      <c r="BB25" s="82"/>
      <c r="BC25" s="82"/>
      <c r="BD25" s="82"/>
      <c r="BE25" s="82"/>
      <c r="BF25" s="82"/>
      <c r="BG25" s="88">
        <f t="shared" si="21"/>
        <v>0</v>
      </c>
      <c r="BH25" s="88">
        <f t="shared" si="22"/>
        <v>0</v>
      </c>
      <c r="BI25" s="90">
        <f t="shared" si="23"/>
        <v>0</v>
      </c>
      <c r="BJ25" s="99"/>
      <c r="BK25" s="88">
        <f t="shared" si="24"/>
        <v>0</v>
      </c>
      <c r="BL25" s="100"/>
      <c r="BM25" s="101"/>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row>
    <row r="26" spans="2:150" s="87" customFormat="1" ht="15" hidden="1" outlineLevel="1" thickBot="1" x14ac:dyDescent="0.35">
      <c r="B26" s="197" t="s">
        <v>212</v>
      </c>
      <c r="C26" s="87">
        <v>6</v>
      </c>
      <c r="D26" s="87" t="str">
        <f t="shared" si="31"/>
        <v>016</v>
      </c>
      <c r="F26" s="13" t="s">
        <v>31</v>
      </c>
      <c r="G26" s="12"/>
      <c r="H26" s="88">
        <f t="shared" si="25"/>
        <v>0</v>
      </c>
      <c r="I26" s="88">
        <f t="shared" si="26"/>
        <v>550</v>
      </c>
      <c r="J26" s="88">
        <f t="shared" si="11"/>
        <v>-550</v>
      </c>
      <c r="K26" s="90">
        <f t="shared" si="12"/>
        <v>-1</v>
      </c>
      <c r="L26" s="88">
        <f t="shared" si="5"/>
        <v>0</v>
      </c>
      <c r="M26" s="88">
        <f t="shared" si="13"/>
        <v>0</v>
      </c>
      <c r="N26" s="90">
        <f t="shared" si="14"/>
        <v>0</v>
      </c>
      <c r="O26" s="88">
        <f t="shared" si="15"/>
        <v>0</v>
      </c>
      <c r="P26" s="88">
        <f t="shared" si="16"/>
        <v>0</v>
      </c>
      <c r="Q26" s="90">
        <f t="shared" si="17"/>
        <v>0</v>
      </c>
      <c r="R26" s="98"/>
      <c r="S26" s="82"/>
      <c r="T26" s="82"/>
      <c r="U26" s="82"/>
      <c r="V26" s="82"/>
      <c r="W26" s="82"/>
      <c r="X26" s="82"/>
      <c r="Y26" s="82"/>
      <c r="Z26" s="82"/>
      <c r="AA26" s="82"/>
      <c r="AB26" s="82"/>
      <c r="AC26" s="82"/>
      <c r="AD26" s="82"/>
      <c r="AE26" s="82">
        <v>0</v>
      </c>
      <c r="AF26" s="88">
        <f>SUMIF('2022 Budget Expenses Model'!$C:$C,'Summary by Department &amp; Categor'!$D26,'2022 Budget Expenses Model'!I:I)</f>
        <v>0</v>
      </c>
      <c r="AG26" s="88">
        <f>SUMIF('2022 Budget Expenses Model'!$C:$C,'Summary by Department &amp; Categor'!$D26,'2022 Budget Expenses Model'!J:J)</f>
        <v>0</v>
      </c>
      <c r="AH26" s="88">
        <f>SUMIF('2022 Budget Expenses Model'!$C:$C,'Summary by Department &amp; Categor'!$D26,'2022 Budget Expenses Model'!K:K)</f>
        <v>1550</v>
      </c>
      <c r="AI26" s="88">
        <f>SUMIF('2022 Budget Expenses Model'!$C:$C,'Summary by Department &amp; Categor'!$D26,'2022 Budget Expenses Model'!L:L)</f>
        <v>0</v>
      </c>
      <c r="AJ26" s="88">
        <f>SUMIF('2022 Budget Expenses Model'!$C:$C,'Summary by Department &amp; Categor'!$D26,'2022 Budget Expenses Model'!M:M)</f>
        <v>0</v>
      </c>
      <c r="AK26" s="88">
        <f>SUMIF('2022 Budget Expenses Model'!$C:$C,'Summary by Department &amp; Categor'!$D26,'2022 Budget Expenses Model'!N:N)</f>
        <v>550</v>
      </c>
      <c r="AL26" s="88">
        <f>SUMIF('2022 Budget Expenses Model'!$C:$C,'Summary by Department &amp; Categor'!$D26,'2022 Budget Expenses Model'!O:O)</f>
        <v>0</v>
      </c>
      <c r="AM26" s="88">
        <f>SUMIF('2022 Budget Expenses Model'!$C:$C,'Summary by Department &amp; Categor'!$D26,'2022 Budget Expenses Model'!P:P)</f>
        <v>0</v>
      </c>
      <c r="AN26" s="88">
        <f>SUMIF('2022 Budget Expenses Model'!$C:$C,'Summary by Department &amp; Categor'!$D26,'2022 Budget Expenses Model'!Q:Q)</f>
        <v>0</v>
      </c>
      <c r="AO26" s="88">
        <f>SUMIF('2022 Budget Expenses Model'!$C:$C,'Summary by Department &amp; Categor'!$D26,'2022 Budget Expenses Model'!R:R)</f>
        <v>550</v>
      </c>
      <c r="AP26" s="88">
        <f>SUMIF('2022 Budget Expenses Model'!$C:$C,'Summary by Department &amp; Categor'!$D26,'2022 Budget Expenses Model'!S:S)</f>
        <v>1000</v>
      </c>
      <c r="AQ26" s="88">
        <f>SUMIF('2022 Budget Expenses Model'!$C:$C,'Summary by Department &amp; Categor'!$D26,'2022 Budget Expenses Model'!T:T)</f>
        <v>550</v>
      </c>
      <c r="AR26" s="88">
        <f t="shared" si="18"/>
        <v>4200</v>
      </c>
      <c r="AS26" s="88">
        <f t="shared" si="19"/>
        <v>-4200</v>
      </c>
      <c r="AT26" s="90">
        <f t="shared" si="20"/>
        <v>-1</v>
      </c>
      <c r="AU26" s="82"/>
      <c r="AV26" s="82"/>
      <c r="AW26" s="82"/>
      <c r="AX26" s="82"/>
      <c r="AY26" s="82"/>
      <c r="AZ26" s="82"/>
      <c r="BA26" s="82"/>
      <c r="BB26" s="82"/>
      <c r="BC26" s="82"/>
      <c r="BD26" s="82"/>
      <c r="BE26" s="82"/>
      <c r="BF26" s="82"/>
      <c r="BG26" s="88">
        <f t="shared" si="21"/>
        <v>0</v>
      </c>
      <c r="BH26" s="88">
        <f t="shared" si="22"/>
        <v>0</v>
      </c>
      <c r="BI26" s="90">
        <f t="shared" si="23"/>
        <v>0</v>
      </c>
      <c r="BJ26" s="99"/>
      <c r="BK26" s="88">
        <f t="shared" si="24"/>
        <v>4200</v>
      </c>
      <c r="BL26" s="100"/>
      <c r="BM26" s="101"/>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row>
    <row r="27" spans="2:150" s="87" customFormat="1" ht="15" hidden="1" outlineLevel="1" thickBot="1" x14ac:dyDescent="0.35">
      <c r="B27" s="197" t="s">
        <v>212</v>
      </c>
      <c r="C27" s="87">
        <v>7</v>
      </c>
      <c r="D27" s="87" t="str">
        <f t="shared" si="31"/>
        <v>017</v>
      </c>
      <c r="F27" s="13" t="s">
        <v>256</v>
      </c>
      <c r="G27" s="12"/>
      <c r="H27" s="88">
        <f t="shared" si="25"/>
        <v>0</v>
      </c>
      <c r="I27" s="88">
        <f t="shared" si="26"/>
        <v>0</v>
      </c>
      <c r="J27" s="88">
        <f t="shared" si="11"/>
        <v>0</v>
      </c>
      <c r="K27" s="90">
        <f t="shared" si="12"/>
        <v>0</v>
      </c>
      <c r="L27" s="88">
        <f t="shared" si="5"/>
        <v>0</v>
      </c>
      <c r="M27" s="88">
        <f t="shared" si="13"/>
        <v>0</v>
      </c>
      <c r="N27" s="90">
        <f t="shared" si="14"/>
        <v>0</v>
      </c>
      <c r="O27" s="88">
        <f t="shared" si="15"/>
        <v>0</v>
      </c>
      <c r="P27" s="88">
        <f t="shared" si="16"/>
        <v>0</v>
      </c>
      <c r="Q27" s="90">
        <f t="shared" si="17"/>
        <v>0</v>
      </c>
      <c r="R27" s="98"/>
      <c r="S27" s="82"/>
      <c r="T27" s="82"/>
      <c r="U27" s="82"/>
      <c r="V27" s="82"/>
      <c r="W27" s="82"/>
      <c r="X27" s="82"/>
      <c r="Y27" s="82"/>
      <c r="Z27" s="82"/>
      <c r="AA27" s="82"/>
      <c r="AB27" s="82"/>
      <c r="AC27" s="82"/>
      <c r="AD27" s="82"/>
      <c r="AE27" s="82">
        <v>0</v>
      </c>
      <c r="AF27" s="88">
        <f>SUMIF('2022 Budget Expenses Model'!$C:$C,'Summary by Department &amp; Categor'!$D27,'2022 Budget Expenses Model'!I:I)</f>
        <v>0</v>
      </c>
      <c r="AG27" s="88">
        <f>SUMIF('2022 Budget Expenses Model'!$C:$C,'Summary by Department &amp; Categor'!$D27,'2022 Budget Expenses Model'!J:J)</f>
        <v>0</v>
      </c>
      <c r="AH27" s="88">
        <f>SUMIF('2022 Budget Expenses Model'!$C:$C,'Summary by Department &amp; Categor'!$D27,'2022 Budget Expenses Model'!K:K)</f>
        <v>0</v>
      </c>
      <c r="AI27" s="88">
        <f>SUMIF('2022 Budget Expenses Model'!$C:$C,'Summary by Department &amp; Categor'!$D27,'2022 Budget Expenses Model'!L:L)</f>
        <v>0</v>
      </c>
      <c r="AJ27" s="88">
        <f>SUMIF('2022 Budget Expenses Model'!$C:$C,'Summary by Department &amp; Categor'!$D27,'2022 Budget Expenses Model'!M:M)</f>
        <v>0</v>
      </c>
      <c r="AK27" s="88">
        <f>SUMIF('2022 Budget Expenses Model'!$C:$C,'Summary by Department &amp; Categor'!$D27,'2022 Budget Expenses Model'!N:N)</f>
        <v>0</v>
      </c>
      <c r="AL27" s="88">
        <f>SUMIF('2022 Budget Expenses Model'!$C:$C,'Summary by Department &amp; Categor'!$D27,'2022 Budget Expenses Model'!O:O)</f>
        <v>0</v>
      </c>
      <c r="AM27" s="88">
        <f>SUMIF('2022 Budget Expenses Model'!$C:$C,'Summary by Department &amp; Categor'!$D27,'2022 Budget Expenses Model'!P:P)</f>
        <v>0</v>
      </c>
      <c r="AN27" s="88">
        <f>SUMIF('2022 Budget Expenses Model'!$C:$C,'Summary by Department &amp; Categor'!$D27,'2022 Budget Expenses Model'!Q:Q)</f>
        <v>0</v>
      </c>
      <c r="AO27" s="88">
        <f>SUMIF('2022 Budget Expenses Model'!$C:$C,'Summary by Department &amp; Categor'!$D27,'2022 Budget Expenses Model'!R:R)</f>
        <v>0</v>
      </c>
      <c r="AP27" s="88">
        <f>SUMIF('2022 Budget Expenses Model'!$C:$C,'Summary by Department &amp; Categor'!$D27,'2022 Budget Expenses Model'!S:S)</f>
        <v>0</v>
      </c>
      <c r="AQ27" s="88">
        <f>SUMIF('2022 Budget Expenses Model'!$C:$C,'Summary by Department &amp; Categor'!$D27,'2022 Budget Expenses Model'!T:T)</f>
        <v>0</v>
      </c>
      <c r="AR27" s="88">
        <f t="shared" si="18"/>
        <v>0</v>
      </c>
      <c r="AS27" s="88">
        <f t="shared" si="19"/>
        <v>0</v>
      </c>
      <c r="AT27" s="90">
        <f t="shared" si="20"/>
        <v>0</v>
      </c>
      <c r="AU27" s="82"/>
      <c r="AV27" s="82"/>
      <c r="AW27" s="82"/>
      <c r="AX27" s="82"/>
      <c r="AY27" s="82"/>
      <c r="AZ27" s="82"/>
      <c r="BA27" s="82"/>
      <c r="BB27" s="82"/>
      <c r="BC27" s="82"/>
      <c r="BD27" s="82"/>
      <c r="BE27" s="82"/>
      <c r="BF27" s="82"/>
      <c r="BG27" s="88">
        <f t="shared" si="21"/>
        <v>0</v>
      </c>
      <c r="BH27" s="88">
        <f t="shared" si="22"/>
        <v>0</v>
      </c>
      <c r="BI27" s="90">
        <f t="shared" si="23"/>
        <v>0</v>
      </c>
      <c r="BJ27" s="99"/>
      <c r="BK27" s="88">
        <f t="shared" si="24"/>
        <v>0</v>
      </c>
      <c r="BL27" s="100"/>
      <c r="BM27" s="101"/>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row>
    <row r="28" spans="2:150" s="87" customFormat="1" ht="15" hidden="1" outlineLevel="1" thickBot="1" x14ac:dyDescent="0.35">
      <c r="B28" s="197" t="s">
        <v>212</v>
      </c>
      <c r="C28" s="87">
        <v>8</v>
      </c>
      <c r="D28" s="87" t="str">
        <f t="shared" si="31"/>
        <v>018</v>
      </c>
      <c r="F28" s="13" t="s">
        <v>46</v>
      </c>
      <c r="G28" s="12"/>
      <c r="H28" s="88">
        <f t="shared" si="25"/>
        <v>0</v>
      </c>
      <c r="I28" s="88">
        <f t="shared" si="26"/>
        <v>0</v>
      </c>
      <c r="J28" s="88">
        <f t="shared" si="11"/>
        <v>0</v>
      </c>
      <c r="K28" s="90">
        <f t="shared" si="12"/>
        <v>0</v>
      </c>
      <c r="L28" s="88">
        <f t="shared" si="5"/>
        <v>0</v>
      </c>
      <c r="M28" s="88">
        <f t="shared" si="13"/>
        <v>0</v>
      </c>
      <c r="N28" s="90">
        <f t="shared" si="14"/>
        <v>0</v>
      </c>
      <c r="O28" s="88">
        <f t="shared" si="15"/>
        <v>0</v>
      </c>
      <c r="P28" s="88">
        <f t="shared" si="16"/>
        <v>0</v>
      </c>
      <c r="Q28" s="90">
        <f t="shared" si="17"/>
        <v>0</v>
      </c>
      <c r="R28" s="98"/>
      <c r="S28" s="82"/>
      <c r="T28" s="82"/>
      <c r="U28" s="82"/>
      <c r="V28" s="82"/>
      <c r="W28" s="82"/>
      <c r="X28" s="82"/>
      <c r="Y28" s="82"/>
      <c r="Z28" s="82"/>
      <c r="AA28" s="82"/>
      <c r="AB28" s="82"/>
      <c r="AC28" s="82"/>
      <c r="AD28" s="82"/>
      <c r="AE28" s="82">
        <f t="shared" ref="AE28:AE55" si="32">SUMIF($S$8:$AD$8,"yes",$S28:$AD28)</f>
        <v>0</v>
      </c>
      <c r="AF28" s="88">
        <f>SUMIF('2022 Budget Expenses Model'!$C:$C,'Summary by Department &amp; Categor'!$D28,'2022 Budget Expenses Model'!I:I)</f>
        <v>0</v>
      </c>
      <c r="AG28" s="88">
        <f>SUMIF('2022 Budget Expenses Model'!$C:$C,'Summary by Department &amp; Categor'!$D28,'2022 Budget Expenses Model'!J:J)</f>
        <v>0</v>
      </c>
      <c r="AH28" s="88">
        <f>SUMIF('2022 Budget Expenses Model'!$C:$C,'Summary by Department &amp; Categor'!$D28,'2022 Budget Expenses Model'!K:K)</f>
        <v>0</v>
      </c>
      <c r="AI28" s="88">
        <f>SUMIF('2022 Budget Expenses Model'!$C:$C,'Summary by Department &amp; Categor'!$D28,'2022 Budget Expenses Model'!L:L)</f>
        <v>0</v>
      </c>
      <c r="AJ28" s="88">
        <f>SUMIF('2022 Budget Expenses Model'!$C:$C,'Summary by Department &amp; Categor'!$D28,'2022 Budget Expenses Model'!M:M)</f>
        <v>0</v>
      </c>
      <c r="AK28" s="88">
        <f>SUMIF('2022 Budget Expenses Model'!$C:$C,'Summary by Department &amp; Categor'!$D28,'2022 Budget Expenses Model'!N:N)</f>
        <v>0</v>
      </c>
      <c r="AL28" s="88">
        <f>SUMIF('2022 Budget Expenses Model'!$C:$C,'Summary by Department &amp; Categor'!$D28,'2022 Budget Expenses Model'!O:O)</f>
        <v>0</v>
      </c>
      <c r="AM28" s="88">
        <f>SUMIF('2022 Budget Expenses Model'!$C:$C,'Summary by Department &amp; Categor'!$D28,'2022 Budget Expenses Model'!P:P)</f>
        <v>0</v>
      </c>
      <c r="AN28" s="88">
        <f>SUMIF('2022 Budget Expenses Model'!$C:$C,'Summary by Department &amp; Categor'!$D28,'2022 Budget Expenses Model'!Q:Q)</f>
        <v>0</v>
      </c>
      <c r="AO28" s="88">
        <f>SUMIF('2022 Budget Expenses Model'!$C:$C,'Summary by Department &amp; Categor'!$D28,'2022 Budget Expenses Model'!R:R)</f>
        <v>0</v>
      </c>
      <c r="AP28" s="88">
        <f>SUMIF('2022 Budget Expenses Model'!$C:$C,'Summary by Department &amp; Categor'!$D28,'2022 Budget Expenses Model'!S:S)</f>
        <v>0</v>
      </c>
      <c r="AQ28" s="88">
        <f>SUMIF('2022 Budget Expenses Model'!$C:$C,'Summary by Department &amp; Categor'!$D28,'2022 Budget Expenses Model'!T:T)</f>
        <v>0</v>
      </c>
      <c r="AR28" s="88">
        <f t="shared" si="18"/>
        <v>0</v>
      </c>
      <c r="AS28" s="88">
        <f t="shared" si="19"/>
        <v>0</v>
      </c>
      <c r="AT28" s="90">
        <f t="shared" si="20"/>
        <v>0</v>
      </c>
      <c r="AU28" s="82"/>
      <c r="AV28" s="82"/>
      <c r="AW28" s="82"/>
      <c r="AX28" s="82"/>
      <c r="AY28" s="82"/>
      <c r="AZ28" s="82"/>
      <c r="BA28" s="82"/>
      <c r="BB28" s="82"/>
      <c r="BC28" s="82"/>
      <c r="BD28" s="82"/>
      <c r="BE28" s="82"/>
      <c r="BF28" s="82"/>
      <c r="BG28" s="88">
        <f t="shared" si="21"/>
        <v>0</v>
      </c>
      <c r="BH28" s="88">
        <f t="shared" si="22"/>
        <v>0</v>
      </c>
      <c r="BI28" s="90">
        <f t="shared" si="23"/>
        <v>0</v>
      </c>
      <c r="BJ28" s="99"/>
      <c r="BK28" s="88">
        <f t="shared" si="24"/>
        <v>0</v>
      </c>
      <c r="BL28" s="100"/>
      <c r="BM28" s="101"/>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row>
    <row r="29" spans="2:150" s="94" customFormat="1" ht="15" collapsed="1" thickBot="1" x14ac:dyDescent="0.35">
      <c r="D29" s="87"/>
      <c r="E29" s="245">
        <v>6</v>
      </c>
      <c r="F29" s="11" t="s">
        <v>206</v>
      </c>
      <c r="G29" s="14"/>
      <c r="H29" s="82">
        <f t="shared" si="25"/>
        <v>0</v>
      </c>
      <c r="I29" s="82">
        <f t="shared" si="26"/>
        <v>49596.5</v>
      </c>
      <c r="J29" s="82">
        <f t="shared" si="11"/>
        <v>-49596.5</v>
      </c>
      <c r="K29" s="83">
        <f t="shared" si="12"/>
        <v>-1</v>
      </c>
      <c r="L29" s="82">
        <f t="shared" si="5"/>
        <v>0</v>
      </c>
      <c r="M29" s="82">
        <f t="shared" si="13"/>
        <v>0</v>
      </c>
      <c r="N29" s="83">
        <f t="shared" si="14"/>
        <v>0</v>
      </c>
      <c r="O29" s="82">
        <f t="shared" si="15"/>
        <v>0</v>
      </c>
      <c r="P29" s="82">
        <f t="shared" si="16"/>
        <v>0</v>
      </c>
      <c r="Q29" s="83">
        <f t="shared" si="17"/>
        <v>0</v>
      </c>
      <c r="R29" s="102"/>
      <c r="S29" s="82">
        <f>SUM(S30:S37)</f>
        <v>0</v>
      </c>
      <c r="T29" s="82">
        <f t="shared" ref="T29" si="33">SUM(T30:T37)</f>
        <v>0</v>
      </c>
      <c r="U29" s="82">
        <f t="shared" ref="U29" si="34">SUM(U30:U37)</f>
        <v>0</v>
      </c>
      <c r="V29" s="82">
        <f t="shared" ref="V29" si="35">SUM(V30:V37)</f>
        <v>0</v>
      </c>
      <c r="W29" s="82">
        <f t="shared" ref="W29" si="36">SUM(W30:W37)</f>
        <v>0</v>
      </c>
      <c r="X29" s="82">
        <f t="shared" ref="X29" si="37">SUM(X30:X37)</f>
        <v>0</v>
      </c>
      <c r="Y29" s="82">
        <f t="shared" ref="Y29" si="38">SUM(Y30:Y37)</f>
        <v>0</v>
      </c>
      <c r="Z29" s="82">
        <f t="shared" ref="Z29" si="39">SUM(Z30:Z37)</f>
        <v>0</v>
      </c>
      <c r="AA29" s="82">
        <f t="shared" ref="AA29" si="40">SUM(AA30:AA37)</f>
        <v>0</v>
      </c>
      <c r="AB29" s="82">
        <f t="shared" ref="AB29" si="41">SUM(AB30:AB37)</f>
        <v>0</v>
      </c>
      <c r="AC29" s="82">
        <f t="shared" ref="AC29" si="42">SUM(AC30:AC37)</f>
        <v>0</v>
      </c>
      <c r="AD29" s="82">
        <f t="shared" ref="AD29" si="43">SUM(AD30:AD37)</f>
        <v>0</v>
      </c>
      <c r="AE29" s="82">
        <v>42325.180000000008</v>
      </c>
      <c r="AF29" s="82">
        <f t="shared" ref="AF29:AG29" si="44">SUM(AF30:AF37)</f>
        <v>4304.166666666667</v>
      </c>
      <c r="AG29" s="82">
        <f t="shared" si="44"/>
        <v>13192.166666666668</v>
      </c>
      <c r="AH29" s="82">
        <f t="shared" ref="AH29" si="45">SUM(AH30:AH37)</f>
        <v>137.5</v>
      </c>
      <c r="AI29" s="82">
        <f t="shared" ref="AI29" si="46">SUM(AI30:AI37)</f>
        <v>687.5</v>
      </c>
      <c r="AJ29" s="82">
        <f t="shared" ref="AJ29" si="47">SUM(AJ30:AJ37)</f>
        <v>8137.5</v>
      </c>
      <c r="AK29" s="82">
        <f t="shared" ref="AK29" si="48">SUM(AK30:AK37)</f>
        <v>30137.5</v>
      </c>
      <c r="AL29" s="82">
        <f t="shared" ref="AL29" si="49">SUM(AL30:AL37)</f>
        <v>17322.5</v>
      </c>
      <c r="AM29" s="82">
        <f t="shared" ref="AM29" si="50">SUM(AM30:AM37)</f>
        <v>8137.5</v>
      </c>
      <c r="AN29" s="82">
        <f t="shared" ref="AN29" si="51">SUM(AN30:AN37)</f>
        <v>16772.5</v>
      </c>
      <c r="AO29" s="82">
        <f t="shared" ref="AO29" si="52">SUM(AO30:AO37)</f>
        <v>49596.5</v>
      </c>
      <c r="AP29" s="82">
        <f t="shared" ref="AP29" si="53">SUM(AP30:AP37)</f>
        <v>8137.5</v>
      </c>
      <c r="AQ29" s="82">
        <f t="shared" ref="AQ29" si="54">SUM(AQ30:AQ37)</f>
        <v>8687.5</v>
      </c>
      <c r="AR29" s="82">
        <f t="shared" si="18"/>
        <v>165250.33333333334</v>
      </c>
      <c r="AS29" s="82">
        <f t="shared" si="19"/>
        <v>-122925.15333333334</v>
      </c>
      <c r="AT29" s="90">
        <f t="shared" si="20"/>
        <v>-0.74387234720656137</v>
      </c>
      <c r="AU29" s="82">
        <f>SUM(AU30:AU37)</f>
        <v>0</v>
      </c>
      <c r="AV29" s="82">
        <f t="shared" ref="AV29" si="55">SUM(AV30:AV37)</f>
        <v>0</v>
      </c>
      <c r="AW29" s="82">
        <f t="shared" ref="AW29" si="56">SUM(AW30:AW37)</f>
        <v>0</v>
      </c>
      <c r="AX29" s="82">
        <f t="shared" ref="AX29" si="57">SUM(AX30:AX37)</f>
        <v>0</v>
      </c>
      <c r="AY29" s="82">
        <f t="shared" ref="AY29" si="58">SUM(AY30:AY37)</f>
        <v>0</v>
      </c>
      <c r="AZ29" s="82">
        <f t="shared" ref="AZ29" si="59">SUM(AZ30:AZ37)</f>
        <v>0</v>
      </c>
      <c r="BA29" s="82">
        <f t="shared" ref="BA29" si="60">SUM(BA30:BA37)</f>
        <v>0</v>
      </c>
      <c r="BB29" s="82">
        <f t="shared" ref="BB29" si="61">SUM(BB30:BB37)</f>
        <v>0</v>
      </c>
      <c r="BC29" s="82">
        <f t="shared" ref="BC29" si="62">SUM(BC30:BC37)</f>
        <v>0</v>
      </c>
      <c r="BD29" s="82">
        <f t="shared" ref="BD29" si="63">SUM(BD30:BD37)</f>
        <v>0</v>
      </c>
      <c r="BE29" s="82">
        <f t="shared" ref="BE29" si="64">SUM(BE30:BE37)</f>
        <v>0</v>
      </c>
      <c r="BF29" s="82">
        <f t="shared" ref="BF29" si="65">SUM(BF30:BF37)</f>
        <v>0</v>
      </c>
      <c r="BG29" s="82">
        <f t="shared" si="21"/>
        <v>0</v>
      </c>
      <c r="BH29" s="82">
        <f t="shared" si="22"/>
        <v>42325.180000000008</v>
      </c>
      <c r="BI29" s="83">
        <f t="shared" si="23"/>
        <v>0</v>
      </c>
      <c r="BJ29" s="103"/>
      <c r="BK29" s="82">
        <f t="shared" ref="BK29" si="66">SUM(BK30:BK37)</f>
        <v>165250.33333333334</v>
      </c>
      <c r="BL29" s="104"/>
      <c r="BM29" s="101"/>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row>
    <row r="30" spans="2:150" s="87" customFormat="1" ht="15" hidden="1" outlineLevel="1" thickBot="1" x14ac:dyDescent="0.35">
      <c r="B30" s="197" t="s">
        <v>217</v>
      </c>
      <c r="C30" s="87">
        <v>2</v>
      </c>
      <c r="D30" s="87" t="str">
        <f t="shared" si="31"/>
        <v>022</v>
      </c>
      <c r="F30" s="13" t="s">
        <v>233</v>
      </c>
      <c r="G30" s="12"/>
      <c r="H30" s="88">
        <f t="shared" si="25"/>
        <v>0</v>
      </c>
      <c r="I30" s="88">
        <f t="shared" si="26"/>
        <v>8000</v>
      </c>
      <c r="J30" s="88">
        <f t="shared" si="11"/>
        <v>-8000</v>
      </c>
      <c r="K30" s="90">
        <f t="shared" si="12"/>
        <v>-1</v>
      </c>
      <c r="L30" s="88">
        <f t="shared" si="5"/>
        <v>0</v>
      </c>
      <c r="M30" s="88">
        <f t="shared" si="13"/>
        <v>0</v>
      </c>
      <c r="N30" s="90">
        <f t="shared" si="14"/>
        <v>0</v>
      </c>
      <c r="O30" s="88">
        <f t="shared" si="15"/>
        <v>0</v>
      </c>
      <c r="P30" s="88">
        <f t="shared" si="16"/>
        <v>0</v>
      </c>
      <c r="Q30" s="90">
        <f t="shared" si="17"/>
        <v>0</v>
      </c>
      <c r="R30" s="98"/>
      <c r="S30" s="82"/>
      <c r="T30" s="82"/>
      <c r="U30" s="82"/>
      <c r="V30" s="82"/>
      <c r="W30" s="82"/>
      <c r="X30" s="82"/>
      <c r="Y30" s="82"/>
      <c r="Z30" s="82"/>
      <c r="AA30" s="82"/>
      <c r="AB30" s="82"/>
      <c r="AC30" s="82"/>
      <c r="AD30" s="82"/>
      <c r="AE30" s="82">
        <v>19789</v>
      </c>
      <c r="AF30" s="88">
        <f>SUMIF('2022 Budget Expenses Model'!$C:$C,'Summary by Department &amp; Categor'!$D30,'2022 Budget Expenses Model'!I:I)</f>
        <v>4166.666666666667</v>
      </c>
      <c r="AG30" s="88">
        <f>SUMIF('2022 Budget Expenses Model'!$C:$C,'Summary by Department &amp; Categor'!$D30,'2022 Budget Expenses Model'!J:J)</f>
        <v>4166.666666666667</v>
      </c>
      <c r="AH30" s="88">
        <f>SUMIF('2022 Budget Expenses Model'!$C:$C,'Summary by Department &amp; Categor'!$D30,'2022 Budget Expenses Model'!K:K)</f>
        <v>0</v>
      </c>
      <c r="AI30" s="88">
        <f>SUMIF('2022 Budget Expenses Model'!$C:$C,'Summary by Department &amp; Categor'!$D30,'2022 Budget Expenses Model'!L:L)</f>
        <v>0</v>
      </c>
      <c r="AJ30" s="88">
        <f>SUMIF('2022 Budget Expenses Model'!$C:$C,'Summary by Department &amp; Categor'!$D30,'2022 Budget Expenses Model'!M:M)</f>
        <v>8000</v>
      </c>
      <c r="AK30" s="88">
        <f>SUMIF('2022 Budget Expenses Model'!$C:$C,'Summary by Department &amp; Categor'!$D30,'2022 Budget Expenses Model'!N:N)</f>
        <v>8000</v>
      </c>
      <c r="AL30" s="88">
        <f>SUMIF('2022 Budget Expenses Model'!$C:$C,'Summary by Department &amp; Categor'!$D30,'2022 Budget Expenses Model'!O:O)</f>
        <v>8000</v>
      </c>
      <c r="AM30" s="88">
        <f>SUMIF('2022 Budget Expenses Model'!$C:$C,'Summary by Department &amp; Categor'!$D30,'2022 Budget Expenses Model'!P:P)</f>
        <v>8000</v>
      </c>
      <c r="AN30" s="88">
        <f>SUMIF('2022 Budget Expenses Model'!$C:$C,'Summary by Department &amp; Categor'!$D30,'2022 Budget Expenses Model'!Q:Q)</f>
        <v>8000</v>
      </c>
      <c r="AO30" s="88">
        <f>SUMIF('2022 Budget Expenses Model'!$C:$C,'Summary by Department &amp; Categor'!$D30,'2022 Budget Expenses Model'!R:R)</f>
        <v>8000</v>
      </c>
      <c r="AP30" s="88">
        <f>SUMIF('2022 Budget Expenses Model'!$C:$C,'Summary by Department &amp; Categor'!$D30,'2022 Budget Expenses Model'!S:S)</f>
        <v>8000</v>
      </c>
      <c r="AQ30" s="88">
        <f>SUMIF('2022 Budget Expenses Model'!$C:$C,'Summary by Department &amp; Categor'!$D30,'2022 Budget Expenses Model'!T:T)</f>
        <v>8000</v>
      </c>
      <c r="AR30" s="88">
        <f t="shared" si="18"/>
        <v>72333.333333333343</v>
      </c>
      <c r="AS30" s="88">
        <f t="shared" si="19"/>
        <v>-52544.333333333343</v>
      </c>
      <c r="AT30" s="90">
        <f t="shared" si="20"/>
        <v>-0.72641935483870967</v>
      </c>
      <c r="AU30" s="82"/>
      <c r="AV30" s="82"/>
      <c r="AW30" s="82"/>
      <c r="AX30" s="82"/>
      <c r="AY30" s="82"/>
      <c r="AZ30" s="82"/>
      <c r="BA30" s="82"/>
      <c r="BB30" s="82"/>
      <c r="BC30" s="82"/>
      <c r="BD30" s="82"/>
      <c r="BE30" s="82"/>
      <c r="BF30" s="82"/>
      <c r="BG30" s="88">
        <f t="shared" si="21"/>
        <v>0</v>
      </c>
      <c r="BH30" s="88">
        <f t="shared" si="22"/>
        <v>19789</v>
      </c>
      <c r="BI30" s="90">
        <f t="shared" si="23"/>
        <v>0</v>
      </c>
      <c r="BJ30" s="99"/>
      <c r="BK30" s="88">
        <f t="shared" si="24"/>
        <v>72333.333333333343</v>
      </c>
      <c r="BL30" s="100"/>
      <c r="BM30" s="101"/>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row>
    <row r="31" spans="2:150" s="94" customFormat="1" ht="15" hidden="1" outlineLevel="1" thickBot="1" x14ac:dyDescent="0.35">
      <c r="B31" s="197" t="s">
        <v>217</v>
      </c>
      <c r="C31" s="87">
        <v>1</v>
      </c>
      <c r="D31" s="87" t="str">
        <f t="shared" si="31"/>
        <v>021</v>
      </c>
      <c r="F31" s="13" t="s">
        <v>440</v>
      </c>
      <c r="G31" s="14"/>
      <c r="H31" s="88">
        <f t="shared" si="25"/>
        <v>0</v>
      </c>
      <c r="I31" s="88">
        <f t="shared" si="26"/>
        <v>27190</v>
      </c>
      <c r="J31" s="88">
        <f t="shared" si="11"/>
        <v>-27190</v>
      </c>
      <c r="K31" s="90">
        <f t="shared" si="12"/>
        <v>-1</v>
      </c>
      <c r="L31" s="88">
        <f t="shared" si="5"/>
        <v>0</v>
      </c>
      <c r="M31" s="88">
        <f t="shared" si="13"/>
        <v>0</v>
      </c>
      <c r="N31" s="90">
        <f t="shared" si="14"/>
        <v>0</v>
      </c>
      <c r="O31" s="88">
        <f t="shared" si="15"/>
        <v>0</v>
      </c>
      <c r="P31" s="88">
        <f t="shared" si="16"/>
        <v>0</v>
      </c>
      <c r="Q31" s="90">
        <f t="shared" si="17"/>
        <v>0</v>
      </c>
      <c r="R31" s="102"/>
      <c r="S31" s="88"/>
      <c r="T31" s="88"/>
      <c r="U31" s="88"/>
      <c r="V31" s="88"/>
      <c r="W31" s="88"/>
      <c r="X31" s="88"/>
      <c r="Y31" s="88"/>
      <c r="Z31" s="88"/>
      <c r="AA31" s="88"/>
      <c r="AB31" s="88"/>
      <c r="AC31" s="88"/>
      <c r="AD31" s="88"/>
      <c r="AE31" s="82">
        <v>18826.520000000004</v>
      </c>
      <c r="AF31" s="88">
        <f>SUMIF('2022 Budget Expenses Model'!$C:$C,'Summary by Department &amp; Categor'!$D31,'2022 Budget Expenses Model'!I:I)</f>
        <v>0</v>
      </c>
      <c r="AG31" s="88">
        <f>SUMIF('2022 Budget Expenses Model'!$C:$C,'Summary by Department &amp; Categor'!$D31,'2022 Budget Expenses Model'!J:J)</f>
        <v>7080</v>
      </c>
      <c r="AH31" s="88">
        <f>SUMIF('2022 Budget Expenses Model'!$C:$C,'Summary by Department &amp; Categor'!$D31,'2022 Budget Expenses Model'!K:K)</f>
        <v>0</v>
      </c>
      <c r="AI31" s="88">
        <f>SUMIF('2022 Budget Expenses Model'!$C:$C,'Summary by Department &amp; Categor'!$D31,'2022 Budget Expenses Model'!L:L)</f>
        <v>0</v>
      </c>
      <c r="AJ31" s="88">
        <f>SUMIF('2022 Budget Expenses Model'!$C:$C,'Summary by Department &amp; Categor'!$D31,'2022 Budget Expenses Model'!M:M)</f>
        <v>0</v>
      </c>
      <c r="AK31" s="88">
        <f>SUMIF('2022 Budget Expenses Model'!$C:$C,'Summary by Department &amp; Categor'!$D31,'2022 Budget Expenses Model'!N:N)</f>
        <v>20000</v>
      </c>
      <c r="AL31" s="88">
        <f>SUMIF('2022 Budget Expenses Model'!$C:$C,'Summary by Department &amp; Categor'!$D31,'2022 Budget Expenses Model'!O:O)</f>
        <v>7850</v>
      </c>
      <c r="AM31" s="88">
        <f>SUMIF('2022 Budget Expenses Model'!$C:$C,'Summary by Department &amp; Categor'!$D31,'2022 Budget Expenses Model'!P:P)</f>
        <v>0</v>
      </c>
      <c r="AN31" s="88">
        <f>SUMIF('2022 Budget Expenses Model'!$C:$C,'Summary by Department &amp; Categor'!$D31,'2022 Budget Expenses Model'!Q:Q)</f>
        <v>7850</v>
      </c>
      <c r="AO31" s="88">
        <f>SUMIF('2022 Budget Expenses Model'!$C:$C,'Summary by Department &amp; Categor'!$D31,'2022 Budget Expenses Model'!R:R)</f>
        <v>27190</v>
      </c>
      <c r="AP31" s="88">
        <f>SUMIF('2022 Budget Expenses Model'!$C:$C,'Summary by Department &amp; Categor'!$D31,'2022 Budget Expenses Model'!S:S)</f>
        <v>0</v>
      </c>
      <c r="AQ31" s="88">
        <f>SUMIF('2022 Budget Expenses Model'!$C:$C,'Summary by Department &amp; Categor'!$D31,'2022 Budget Expenses Model'!T:T)</f>
        <v>0</v>
      </c>
      <c r="AR31" s="88">
        <f t="shared" si="18"/>
        <v>69970</v>
      </c>
      <c r="AS31" s="88">
        <f t="shared" si="19"/>
        <v>-51143.479999999996</v>
      </c>
      <c r="AT31" s="90">
        <f t="shared" si="20"/>
        <v>-0.73093440045733882</v>
      </c>
      <c r="AU31" s="88"/>
      <c r="AV31" s="88"/>
      <c r="AW31" s="88"/>
      <c r="AX31" s="88"/>
      <c r="AY31" s="88"/>
      <c r="AZ31" s="88"/>
      <c r="BA31" s="88"/>
      <c r="BB31" s="88"/>
      <c r="BC31" s="88"/>
      <c r="BD31" s="88"/>
      <c r="BE31" s="88"/>
      <c r="BF31" s="88"/>
      <c r="BG31" s="88">
        <f t="shared" si="21"/>
        <v>0</v>
      </c>
      <c r="BH31" s="88">
        <f t="shared" si="22"/>
        <v>18826.520000000004</v>
      </c>
      <c r="BI31" s="90">
        <f t="shared" si="23"/>
        <v>0</v>
      </c>
      <c r="BJ31" s="103"/>
      <c r="BK31" s="88">
        <f t="shared" si="24"/>
        <v>69970</v>
      </c>
      <c r="BL31" s="104"/>
      <c r="BM31" s="101"/>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row>
    <row r="32" spans="2:150" s="94" customFormat="1" ht="15" hidden="1" outlineLevel="1" thickBot="1" x14ac:dyDescent="0.35">
      <c r="B32" s="197" t="s">
        <v>217</v>
      </c>
      <c r="C32" s="87">
        <v>3</v>
      </c>
      <c r="D32" s="87" t="str">
        <f t="shared" si="31"/>
        <v>023</v>
      </c>
      <c r="F32" s="13" t="s">
        <v>238</v>
      </c>
      <c r="G32" s="14"/>
      <c r="H32" s="88">
        <f t="shared" si="25"/>
        <v>0</v>
      </c>
      <c r="I32" s="88">
        <f t="shared" si="26"/>
        <v>0</v>
      </c>
      <c r="J32" s="88">
        <f t="shared" si="11"/>
        <v>0</v>
      </c>
      <c r="K32" s="90">
        <f t="shared" si="12"/>
        <v>0</v>
      </c>
      <c r="L32" s="88">
        <f t="shared" si="5"/>
        <v>0</v>
      </c>
      <c r="M32" s="88">
        <f t="shared" si="13"/>
        <v>0</v>
      </c>
      <c r="N32" s="90">
        <f t="shared" si="14"/>
        <v>0</v>
      </c>
      <c r="O32" s="88">
        <f t="shared" si="15"/>
        <v>0</v>
      </c>
      <c r="P32" s="88">
        <f t="shared" si="16"/>
        <v>0</v>
      </c>
      <c r="Q32" s="90">
        <f t="shared" si="17"/>
        <v>0</v>
      </c>
      <c r="R32" s="102"/>
      <c r="S32" s="88"/>
      <c r="T32" s="88"/>
      <c r="U32" s="88"/>
      <c r="V32" s="88"/>
      <c r="W32" s="88"/>
      <c r="X32" s="88"/>
      <c r="Y32" s="88"/>
      <c r="Z32" s="88"/>
      <c r="AA32" s="88"/>
      <c r="AB32" s="88"/>
      <c r="AC32" s="88"/>
      <c r="AD32" s="88"/>
      <c r="AE32" s="82">
        <v>622.88</v>
      </c>
      <c r="AF32" s="88">
        <f>SUMIF('2022 Budget Expenses Model'!$C:$C,'Summary by Department &amp; Categor'!$D32,'2022 Budget Expenses Model'!I:I)</f>
        <v>0</v>
      </c>
      <c r="AG32" s="88">
        <f>SUMIF('2022 Budget Expenses Model'!$C:$C,'Summary by Department &amp; Categor'!$D32,'2022 Budget Expenses Model'!J:J)</f>
        <v>0</v>
      </c>
      <c r="AH32" s="88">
        <f>SUMIF('2022 Budget Expenses Model'!$C:$C,'Summary by Department &amp; Categor'!$D32,'2022 Budget Expenses Model'!K:K)</f>
        <v>0</v>
      </c>
      <c r="AI32" s="88">
        <f>SUMIF('2022 Budget Expenses Model'!$C:$C,'Summary by Department &amp; Categor'!$D32,'2022 Budget Expenses Model'!L:L)</f>
        <v>0</v>
      </c>
      <c r="AJ32" s="88">
        <f>SUMIF('2022 Budget Expenses Model'!$C:$C,'Summary by Department &amp; Categor'!$D32,'2022 Budget Expenses Model'!M:M)</f>
        <v>0</v>
      </c>
      <c r="AK32" s="88">
        <f>SUMIF('2022 Budget Expenses Model'!$C:$C,'Summary by Department &amp; Categor'!$D32,'2022 Budget Expenses Model'!N:N)</f>
        <v>0</v>
      </c>
      <c r="AL32" s="88">
        <f>SUMIF('2022 Budget Expenses Model'!$C:$C,'Summary by Department &amp; Categor'!$D32,'2022 Budget Expenses Model'!O:O)</f>
        <v>0</v>
      </c>
      <c r="AM32" s="88">
        <f>SUMIF('2022 Budget Expenses Model'!$C:$C,'Summary by Department &amp; Categor'!$D32,'2022 Budget Expenses Model'!P:P)</f>
        <v>0</v>
      </c>
      <c r="AN32" s="88">
        <f>SUMIF('2022 Budget Expenses Model'!$C:$C,'Summary by Department &amp; Categor'!$D32,'2022 Budget Expenses Model'!Q:Q)</f>
        <v>0</v>
      </c>
      <c r="AO32" s="88">
        <f>SUMIF('2022 Budget Expenses Model'!$C:$C,'Summary by Department &amp; Categor'!$D32,'2022 Budget Expenses Model'!R:R)</f>
        <v>0</v>
      </c>
      <c r="AP32" s="88">
        <f>SUMIF('2022 Budget Expenses Model'!$C:$C,'Summary by Department &amp; Categor'!$D32,'2022 Budget Expenses Model'!S:S)</f>
        <v>0</v>
      </c>
      <c r="AQ32" s="88">
        <f>SUMIF('2022 Budget Expenses Model'!$C:$C,'Summary by Department &amp; Categor'!$D32,'2022 Budget Expenses Model'!T:T)</f>
        <v>0</v>
      </c>
      <c r="AR32" s="88">
        <f t="shared" si="18"/>
        <v>0</v>
      </c>
      <c r="AS32" s="88">
        <f t="shared" si="19"/>
        <v>622.88</v>
      </c>
      <c r="AT32" s="90">
        <f t="shared" si="20"/>
        <v>0</v>
      </c>
      <c r="AU32" s="88"/>
      <c r="AV32" s="88"/>
      <c r="AW32" s="88"/>
      <c r="AX32" s="88"/>
      <c r="AY32" s="88"/>
      <c r="AZ32" s="88"/>
      <c r="BA32" s="88"/>
      <c r="BB32" s="88"/>
      <c r="BC32" s="88"/>
      <c r="BD32" s="88"/>
      <c r="BE32" s="88"/>
      <c r="BF32" s="88"/>
      <c r="BG32" s="88">
        <f t="shared" si="21"/>
        <v>0</v>
      </c>
      <c r="BH32" s="88">
        <f t="shared" si="22"/>
        <v>622.88</v>
      </c>
      <c r="BI32" s="90">
        <f t="shared" si="23"/>
        <v>0</v>
      </c>
      <c r="BJ32" s="103"/>
      <c r="BK32" s="88">
        <f t="shared" si="24"/>
        <v>0</v>
      </c>
      <c r="BL32" s="104"/>
      <c r="BM32" s="101"/>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row>
    <row r="33" spans="2:150" s="94" customFormat="1" ht="15" hidden="1" outlineLevel="1" thickBot="1" x14ac:dyDescent="0.35">
      <c r="B33" s="197" t="s">
        <v>217</v>
      </c>
      <c r="C33" s="87">
        <v>4</v>
      </c>
      <c r="D33" s="87" t="str">
        <f t="shared" si="31"/>
        <v>024</v>
      </c>
      <c r="F33" s="13" t="s">
        <v>244</v>
      </c>
      <c r="G33" s="14"/>
      <c r="H33" s="88">
        <f t="shared" si="25"/>
        <v>0</v>
      </c>
      <c r="I33" s="88">
        <f t="shared" si="26"/>
        <v>0</v>
      </c>
      <c r="J33" s="88">
        <f t="shared" si="11"/>
        <v>0</v>
      </c>
      <c r="K33" s="90">
        <f t="shared" si="12"/>
        <v>0</v>
      </c>
      <c r="L33" s="88">
        <f t="shared" si="5"/>
        <v>0</v>
      </c>
      <c r="M33" s="88">
        <f t="shared" si="13"/>
        <v>0</v>
      </c>
      <c r="N33" s="90">
        <f t="shared" si="14"/>
        <v>0</v>
      </c>
      <c r="O33" s="88">
        <f t="shared" si="15"/>
        <v>0</v>
      </c>
      <c r="P33" s="88">
        <f t="shared" si="16"/>
        <v>0</v>
      </c>
      <c r="Q33" s="90">
        <f t="shared" si="17"/>
        <v>0</v>
      </c>
      <c r="R33" s="102"/>
      <c r="S33" s="88"/>
      <c r="T33" s="88"/>
      <c r="U33" s="88"/>
      <c r="V33" s="88"/>
      <c r="W33" s="88"/>
      <c r="X33" s="88"/>
      <c r="Y33" s="88"/>
      <c r="Z33" s="88"/>
      <c r="AA33" s="88"/>
      <c r="AB33" s="88"/>
      <c r="AC33" s="88"/>
      <c r="AD33" s="88"/>
      <c r="AE33" s="82">
        <v>0</v>
      </c>
      <c r="AF33" s="88">
        <f>SUMIF('2022 Budget Expenses Model'!$C:$C,'Summary by Department &amp; Categor'!$D33,'2022 Budget Expenses Model'!I:I)</f>
        <v>0</v>
      </c>
      <c r="AG33" s="88">
        <f>SUMIF('2022 Budget Expenses Model'!$C:$C,'Summary by Department &amp; Categor'!$D33,'2022 Budget Expenses Model'!J:J)</f>
        <v>0</v>
      </c>
      <c r="AH33" s="88">
        <f>SUMIF('2022 Budget Expenses Model'!$C:$C,'Summary by Department &amp; Categor'!$D33,'2022 Budget Expenses Model'!K:K)</f>
        <v>0</v>
      </c>
      <c r="AI33" s="88">
        <f>SUMIF('2022 Budget Expenses Model'!$C:$C,'Summary by Department &amp; Categor'!$D33,'2022 Budget Expenses Model'!L:L)</f>
        <v>0</v>
      </c>
      <c r="AJ33" s="88">
        <f>SUMIF('2022 Budget Expenses Model'!$C:$C,'Summary by Department &amp; Categor'!$D33,'2022 Budget Expenses Model'!M:M)</f>
        <v>0</v>
      </c>
      <c r="AK33" s="88">
        <f>SUMIF('2022 Budget Expenses Model'!$C:$C,'Summary by Department &amp; Categor'!$D33,'2022 Budget Expenses Model'!N:N)</f>
        <v>0</v>
      </c>
      <c r="AL33" s="88">
        <f>SUMIF('2022 Budget Expenses Model'!$C:$C,'Summary by Department &amp; Categor'!$D33,'2022 Budget Expenses Model'!O:O)</f>
        <v>0</v>
      </c>
      <c r="AM33" s="88">
        <f>SUMIF('2022 Budget Expenses Model'!$C:$C,'Summary by Department &amp; Categor'!$D33,'2022 Budget Expenses Model'!P:P)</f>
        <v>0</v>
      </c>
      <c r="AN33" s="88">
        <f>SUMIF('2022 Budget Expenses Model'!$C:$C,'Summary by Department &amp; Categor'!$D33,'2022 Budget Expenses Model'!Q:Q)</f>
        <v>0</v>
      </c>
      <c r="AO33" s="88">
        <f>SUMIF('2022 Budget Expenses Model'!$C:$C,'Summary by Department &amp; Categor'!$D33,'2022 Budget Expenses Model'!R:R)</f>
        <v>0</v>
      </c>
      <c r="AP33" s="88">
        <f>SUMIF('2022 Budget Expenses Model'!$C:$C,'Summary by Department &amp; Categor'!$D33,'2022 Budget Expenses Model'!S:S)</f>
        <v>0</v>
      </c>
      <c r="AQ33" s="88">
        <f>SUMIF('2022 Budget Expenses Model'!$C:$C,'Summary by Department &amp; Categor'!$D33,'2022 Budget Expenses Model'!T:T)</f>
        <v>0</v>
      </c>
      <c r="AR33" s="88">
        <f t="shared" si="18"/>
        <v>0</v>
      </c>
      <c r="AS33" s="88">
        <f t="shared" si="19"/>
        <v>0</v>
      </c>
      <c r="AT33" s="90">
        <f t="shared" si="20"/>
        <v>0</v>
      </c>
      <c r="AU33" s="88"/>
      <c r="AV33" s="88"/>
      <c r="AW33" s="88"/>
      <c r="AX33" s="88"/>
      <c r="AY33" s="88"/>
      <c r="AZ33" s="88"/>
      <c r="BA33" s="88"/>
      <c r="BB33" s="88"/>
      <c r="BC33" s="88"/>
      <c r="BD33" s="88"/>
      <c r="BE33" s="88"/>
      <c r="BF33" s="88"/>
      <c r="BG33" s="88">
        <f t="shared" si="21"/>
        <v>0</v>
      </c>
      <c r="BH33" s="88">
        <f t="shared" si="22"/>
        <v>0</v>
      </c>
      <c r="BI33" s="90">
        <f t="shared" si="23"/>
        <v>0</v>
      </c>
      <c r="BJ33" s="103"/>
      <c r="BK33" s="88">
        <f t="shared" si="24"/>
        <v>0</v>
      </c>
      <c r="BL33" s="104"/>
      <c r="BM33" s="101"/>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row>
    <row r="34" spans="2:150" s="94" customFormat="1" ht="15" hidden="1" outlineLevel="1" thickBot="1" x14ac:dyDescent="0.35">
      <c r="B34" s="197" t="s">
        <v>217</v>
      </c>
      <c r="C34" s="87">
        <v>5</v>
      </c>
      <c r="D34" s="87" t="str">
        <f t="shared" si="31"/>
        <v>025</v>
      </c>
      <c r="F34" s="13" t="s">
        <v>251</v>
      </c>
      <c r="G34" s="14"/>
      <c r="H34" s="88">
        <f t="shared" si="25"/>
        <v>0</v>
      </c>
      <c r="I34" s="88">
        <f t="shared" si="26"/>
        <v>14406.5</v>
      </c>
      <c r="J34" s="88">
        <f t="shared" si="11"/>
        <v>-14406.5</v>
      </c>
      <c r="K34" s="90">
        <f t="shared" si="12"/>
        <v>-1</v>
      </c>
      <c r="L34" s="88">
        <f t="shared" si="5"/>
        <v>0</v>
      </c>
      <c r="M34" s="88">
        <f t="shared" si="13"/>
        <v>0</v>
      </c>
      <c r="N34" s="90">
        <f t="shared" si="14"/>
        <v>0</v>
      </c>
      <c r="O34" s="88">
        <f t="shared" si="15"/>
        <v>0</v>
      </c>
      <c r="P34" s="88">
        <f t="shared" si="16"/>
        <v>0</v>
      </c>
      <c r="Q34" s="90">
        <f t="shared" si="17"/>
        <v>0</v>
      </c>
      <c r="R34" s="102"/>
      <c r="S34" s="88"/>
      <c r="T34" s="88"/>
      <c r="U34" s="88"/>
      <c r="V34" s="88"/>
      <c r="W34" s="88"/>
      <c r="X34" s="88"/>
      <c r="Y34" s="88"/>
      <c r="Z34" s="88"/>
      <c r="AA34" s="88"/>
      <c r="AB34" s="88"/>
      <c r="AC34" s="88"/>
      <c r="AD34" s="88"/>
      <c r="AE34" s="82">
        <v>2951.48</v>
      </c>
      <c r="AF34" s="88">
        <f>SUMIF('2022 Budget Expenses Model'!$C:$C,'Summary by Department &amp; Categor'!$D34,'2022 Budget Expenses Model'!I:I)</f>
        <v>137.5</v>
      </c>
      <c r="AG34" s="88">
        <f>SUMIF('2022 Budget Expenses Model'!$C:$C,'Summary by Department &amp; Categor'!$D34,'2022 Budget Expenses Model'!J:J)</f>
        <v>1945.5</v>
      </c>
      <c r="AH34" s="88">
        <f>SUMIF('2022 Budget Expenses Model'!$C:$C,'Summary by Department &amp; Categor'!$D34,'2022 Budget Expenses Model'!K:K)</f>
        <v>137.5</v>
      </c>
      <c r="AI34" s="88">
        <f>SUMIF('2022 Budget Expenses Model'!$C:$C,'Summary by Department &amp; Categor'!$D34,'2022 Budget Expenses Model'!L:L)</f>
        <v>687.5</v>
      </c>
      <c r="AJ34" s="88">
        <f>SUMIF('2022 Budget Expenses Model'!$C:$C,'Summary by Department &amp; Categor'!$D34,'2022 Budget Expenses Model'!M:M)</f>
        <v>137.5</v>
      </c>
      <c r="AK34" s="88">
        <f>SUMIF('2022 Budget Expenses Model'!$C:$C,'Summary by Department &amp; Categor'!$D34,'2022 Budget Expenses Model'!N:N)</f>
        <v>2137.5</v>
      </c>
      <c r="AL34" s="88">
        <f>SUMIF('2022 Budget Expenses Model'!$C:$C,'Summary by Department &amp; Categor'!$D34,'2022 Budget Expenses Model'!O:O)</f>
        <v>1472.5</v>
      </c>
      <c r="AM34" s="88">
        <f>SUMIF('2022 Budget Expenses Model'!$C:$C,'Summary by Department &amp; Categor'!$D34,'2022 Budget Expenses Model'!P:P)</f>
        <v>137.5</v>
      </c>
      <c r="AN34" s="88">
        <f>SUMIF('2022 Budget Expenses Model'!$C:$C,'Summary by Department &amp; Categor'!$D34,'2022 Budget Expenses Model'!Q:Q)</f>
        <v>922.5</v>
      </c>
      <c r="AO34" s="88">
        <f>SUMIF('2022 Budget Expenses Model'!$C:$C,'Summary by Department &amp; Categor'!$D34,'2022 Budget Expenses Model'!R:R)</f>
        <v>14406.5</v>
      </c>
      <c r="AP34" s="88">
        <f>SUMIF('2022 Budget Expenses Model'!$C:$C,'Summary by Department &amp; Categor'!$D34,'2022 Budget Expenses Model'!S:S)</f>
        <v>137.5</v>
      </c>
      <c r="AQ34" s="88">
        <f>SUMIF('2022 Budget Expenses Model'!$C:$C,'Summary by Department &amp; Categor'!$D34,'2022 Budget Expenses Model'!T:T)</f>
        <v>687.5</v>
      </c>
      <c r="AR34" s="88">
        <f t="shared" si="18"/>
        <v>22947</v>
      </c>
      <c r="AS34" s="88">
        <f t="shared" si="19"/>
        <v>-19995.52</v>
      </c>
      <c r="AT34" s="90">
        <f t="shared" si="20"/>
        <v>-0.87137839368980696</v>
      </c>
      <c r="AU34" s="88"/>
      <c r="AV34" s="88"/>
      <c r="AW34" s="88"/>
      <c r="AX34" s="88"/>
      <c r="AY34" s="88"/>
      <c r="AZ34" s="88"/>
      <c r="BA34" s="88"/>
      <c r="BB34" s="88"/>
      <c r="BC34" s="88"/>
      <c r="BD34" s="88"/>
      <c r="BE34" s="88"/>
      <c r="BF34" s="88"/>
      <c r="BG34" s="88">
        <f t="shared" si="21"/>
        <v>0</v>
      </c>
      <c r="BH34" s="88">
        <f t="shared" si="22"/>
        <v>2951.48</v>
      </c>
      <c r="BI34" s="90">
        <f t="shared" si="23"/>
        <v>0</v>
      </c>
      <c r="BJ34" s="103"/>
      <c r="BK34" s="88">
        <f t="shared" si="24"/>
        <v>22947</v>
      </c>
      <c r="BL34" s="104"/>
      <c r="BM34" s="101"/>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row>
    <row r="35" spans="2:150" s="87" customFormat="1" ht="15" hidden="1" outlineLevel="1" thickBot="1" x14ac:dyDescent="0.35">
      <c r="B35" s="197" t="s">
        <v>217</v>
      </c>
      <c r="C35" s="87">
        <v>6</v>
      </c>
      <c r="D35" s="87" t="str">
        <f t="shared" si="31"/>
        <v>026</v>
      </c>
      <c r="F35" s="13" t="s">
        <v>31</v>
      </c>
      <c r="G35" s="12"/>
      <c r="H35" s="88">
        <f t="shared" si="25"/>
        <v>0</v>
      </c>
      <c r="I35" s="88">
        <f t="shared" si="26"/>
        <v>0</v>
      </c>
      <c r="J35" s="88">
        <f t="shared" si="11"/>
        <v>0</v>
      </c>
      <c r="K35" s="90">
        <f t="shared" si="12"/>
        <v>0</v>
      </c>
      <c r="L35" s="88">
        <f t="shared" si="5"/>
        <v>0</v>
      </c>
      <c r="M35" s="88">
        <f t="shared" si="13"/>
        <v>0</v>
      </c>
      <c r="N35" s="90">
        <f t="shared" si="14"/>
        <v>0</v>
      </c>
      <c r="O35" s="88">
        <f t="shared" si="15"/>
        <v>0</v>
      </c>
      <c r="P35" s="88">
        <f t="shared" si="16"/>
        <v>0</v>
      </c>
      <c r="Q35" s="90">
        <f t="shared" si="17"/>
        <v>0</v>
      </c>
      <c r="R35" s="98"/>
      <c r="S35" s="82"/>
      <c r="T35" s="82"/>
      <c r="U35" s="82"/>
      <c r="V35" s="82"/>
      <c r="W35" s="82"/>
      <c r="X35" s="82"/>
      <c r="Y35" s="82"/>
      <c r="Z35" s="82"/>
      <c r="AA35" s="82"/>
      <c r="AB35" s="82"/>
      <c r="AC35" s="82"/>
      <c r="AD35" s="82"/>
      <c r="AE35" s="82">
        <v>135.30000000000001</v>
      </c>
      <c r="AF35" s="88">
        <f>SUMIF('2022 Budget Expenses Model'!$C:$C,'Summary by Department &amp; Categor'!$D35,'2022 Budget Expenses Model'!I:I)</f>
        <v>0</v>
      </c>
      <c r="AG35" s="88">
        <f>SUMIF('2022 Budget Expenses Model'!$C:$C,'Summary by Department &amp; Categor'!$D35,'2022 Budget Expenses Model'!J:J)</f>
        <v>0</v>
      </c>
      <c r="AH35" s="88">
        <f>SUMIF('2022 Budget Expenses Model'!$C:$C,'Summary by Department &amp; Categor'!$D35,'2022 Budget Expenses Model'!K:K)</f>
        <v>0</v>
      </c>
      <c r="AI35" s="88">
        <f>SUMIF('2022 Budget Expenses Model'!$C:$C,'Summary by Department &amp; Categor'!$D35,'2022 Budget Expenses Model'!L:L)</f>
        <v>0</v>
      </c>
      <c r="AJ35" s="88">
        <f>SUMIF('2022 Budget Expenses Model'!$C:$C,'Summary by Department &amp; Categor'!$D35,'2022 Budget Expenses Model'!M:M)</f>
        <v>0</v>
      </c>
      <c r="AK35" s="88">
        <f>SUMIF('2022 Budget Expenses Model'!$C:$C,'Summary by Department &amp; Categor'!$D35,'2022 Budget Expenses Model'!N:N)</f>
        <v>0</v>
      </c>
      <c r="AL35" s="88">
        <f>SUMIF('2022 Budget Expenses Model'!$C:$C,'Summary by Department &amp; Categor'!$D35,'2022 Budget Expenses Model'!O:O)</f>
        <v>0</v>
      </c>
      <c r="AM35" s="88">
        <f>SUMIF('2022 Budget Expenses Model'!$C:$C,'Summary by Department &amp; Categor'!$D35,'2022 Budget Expenses Model'!P:P)</f>
        <v>0</v>
      </c>
      <c r="AN35" s="88">
        <f>SUMIF('2022 Budget Expenses Model'!$C:$C,'Summary by Department &amp; Categor'!$D35,'2022 Budget Expenses Model'!Q:Q)</f>
        <v>0</v>
      </c>
      <c r="AO35" s="88">
        <f>SUMIF('2022 Budget Expenses Model'!$C:$C,'Summary by Department &amp; Categor'!$D35,'2022 Budget Expenses Model'!R:R)</f>
        <v>0</v>
      </c>
      <c r="AP35" s="88">
        <f>SUMIF('2022 Budget Expenses Model'!$C:$C,'Summary by Department &amp; Categor'!$D35,'2022 Budget Expenses Model'!S:S)</f>
        <v>0</v>
      </c>
      <c r="AQ35" s="88">
        <f>SUMIF('2022 Budget Expenses Model'!$C:$C,'Summary by Department &amp; Categor'!$D35,'2022 Budget Expenses Model'!T:T)</f>
        <v>0</v>
      </c>
      <c r="AR35" s="88">
        <f t="shared" si="18"/>
        <v>0</v>
      </c>
      <c r="AS35" s="88">
        <f t="shared" si="19"/>
        <v>135.30000000000001</v>
      </c>
      <c r="AT35" s="90">
        <f t="shared" si="20"/>
        <v>0</v>
      </c>
      <c r="AU35" s="82"/>
      <c r="AV35" s="82"/>
      <c r="AW35" s="82"/>
      <c r="AX35" s="82"/>
      <c r="AY35" s="82"/>
      <c r="AZ35" s="82"/>
      <c r="BA35" s="82"/>
      <c r="BB35" s="82"/>
      <c r="BC35" s="82"/>
      <c r="BD35" s="82"/>
      <c r="BE35" s="82"/>
      <c r="BF35" s="82"/>
      <c r="BG35" s="88">
        <f t="shared" si="21"/>
        <v>0</v>
      </c>
      <c r="BH35" s="88">
        <f t="shared" si="22"/>
        <v>135.30000000000001</v>
      </c>
      <c r="BI35" s="90">
        <f t="shared" si="23"/>
        <v>0</v>
      </c>
      <c r="BJ35" s="99"/>
      <c r="BK35" s="88">
        <f t="shared" si="24"/>
        <v>0</v>
      </c>
      <c r="BL35" s="100"/>
      <c r="BM35" s="101"/>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row>
    <row r="36" spans="2:150" s="94" customFormat="1" ht="15" hidden="1" outlineLevel="1" thickBot="1" x14ac:dyDescent="0.35">
      <c r="B36" s="197" t="s">
        <v>217</v>
      </c>
      <c r="C36" s="87">
        <v>7</v>
      </c>
      <c r="D36" s="87" t="str">
        <f t="shared" si="31"/>
        <v>027</v>
      </c>
      <c r="F36" s="13" t="s">
        <v>256</v>
      </c>
      <c r="G36" s="14"/>
      <c r="H36" s="88">
        <f t="shared" si="25"/>
        <v>0</v>
      </c>
      <c r="I36" s="88">
        <f t="shared" si="26"/>
        <v>0</v>
      </c>
      <c r="J36" s="88">
        <f t="shared" si="11"/>
        <v>0</v>
      </c>
      <c r="K36" s="90">
        <f t="shared" si="12"/>
        <v>0</v>
      </c>
      <c r="L36" s="88">
        <f t="shared" si="5"/>
        <v>0</v>
      </c>
      <c r="M36" s="88">
        <f t="shared" si="13"/>
        <v>0</v>
      </c>
      <c r="N36" s="90">
        <f t="shared" si="14"/>
        <v>0</v>
      </c>
      <c r="O36" s="88">
        <f t="shared" si="15"/>
        <v>0</v>
      </c>
      <c r="P36" s="88">
        <f t="shared" si="16"/>
        <v>0</v>
      </c>
      <c r="Q36" s="90">
        <f t="shared" si="17"/>
        <v>0</v>
      </c>
      <c r="R36" s="102"/>
      <c r="S36" s="88"/>
      <c r="T36" s="88"/>
      <c r="U36" s="88"/>
      <c r="V36" s="88"/>
      <c r="W36" s="88"/>
      <c r="X36" s="88"/>
      <c r="Y36" s="88"/>
      <c r="Z36" s="88"/>
      <c r="AA36" s="88"/>
      <c r="AB36" s="88"/>
      <c r="AC36" s="88"/>
      <c r="AD36" s="88"/>
      <c r="AE36" s="82">
        <v>0</v>
      </c>
      <c r="AF36" s="88">
        <f>SUMIF('2022 Budget Expenses Model'!$C:$C,'Summary by Department &amp; Categor'!$D36,'2022 Budget Expenses Model'!I:I)</f>
        <v>0</v>
      </c>
      <c r="AG36" s="88">
        <f>SUMIF('2022 Budget Expenses Model'!$C:$C,'Summary by Department &amp; Categor'!$D36,'2022 Budget Expenses Model'!J:J)</f>
        <v>0</v>
      </c>
      <c r="AH36" s="88">
        <f>SUMIF('2022 Budget Expenses Model'!$C:$C,'Summary by Department &amp; Categor'!$D36,'2022 Budget Expenses Model'!K:K)</f>
        <v>0</v>
      </c>
      <c r="AI36" s="88">
        <f>SUMIF('2022 Budget Expenses Model'!$C:$C,'Summary by Department &amp; Categor'!$D36,'2022 Budget Expenses Model'!L:L)</f>
        <v>0</v>
      </c>
      <c r="AJ36" s="88">
        <f>SUMIF('2022 Budget Expenses Model'!$C:$C,'Summary by Department &amp; Categor'!$D36,'2022 Budget Expenses Model'!M:M)</f>
        <v>0</v>
      </c>
      <c r="AK36" s="88">
        <f>SUMIF('2022 Budget Expenses Model'!$C:$C,'Summary by Department &amp; Categor'!$D36,'2022 Budget Expenses Model'!N:N)</f>
        <v>0</v>
      </c>
      <c r="AL36" s="88">
        <f>SUMIF('2022 Budget Expenses Model'!$C:$C,'Summary by Department &amp; Categor'!$D36,'2022 Budget Expenses Model'!O:O)</f>
        <v>0</v>
      </c>
      <c r="AM36" s="88">
        <f>SUMIF('2022 Budget Expenses Model'!$C:$C,'Summary by Department &amp; Categor'!$D36,'2022 Budget Expenses Model'!P:P)</f>
        <v>0</v>
      </c>
      <c r="AN36" s="88">
        <f>SUMIF('2022 Budget Expenses Model'!$C:$C,'Summary by Department &amp; Categor'!$D36,'2022 Budget Expenses Model'!Q:Q)</f>
        <v>0</v>
      </c>
      <c r="AO36" s="88">
        <f>SUMIF('2022 Budget Expenses Model'!$C:$C,'Summary by Department &amp; Categor'!$D36,'2022 Budget Expenses Model'!R:R)</f>
        <v>0</v>
      </c>
      <c r="AP36" s="88">
        <f>SUMIF('2022 Budget Expenses Model'!$C:$C,'Summary by Department &amp; Categor'!$D36,'2022 Budget Expenses Model'!S:S)</f>
        <v>0</v>
      </c>
      <c r="AQ36" s="88">
        <f>SUMIF('2022 Budget Expenses Model'!$C:$C,'Summary by Department &amp; Categor'!$D36,'2022 Budget Expenses Model'!T:T)</f>
        <v>0</v>
      </c>
      <c r="AR36" s="88">
        <f t="shared" si="18"/>
        <v>0</v>
      </c>
      <c r="AS36" s="88">
        <f t="shared" si="19"/>
        <v>0</v>
      </c>
      <c r="AT36" s="90">
        <f t="shared" si="20"/>
        <v>0</v>
      </c>
      <c r="AU36" s="88"/>
      <c r="AV36" s="88"/>
      <c r="AW36" s="88"/>
      <c r="AX36" s="88"/>
      <c r="AY36" s="88"/>
      <c r="AZ36" s="88"/>
      <c r="BA36" s="88"/>
      <c r="BB36" s="88"/>
      <c r="BC36" s="88"/>
      <c r="BD36" s="88"/>
      <c r="BE36" s="88"/>
      <c r="BF36" s="88"/>
      <c r="BG36" s="88">
        <f t="shared" si="21"/>
        <v>0</v>
      </c>
      <c r="BH36" s="88">
        <f t="shared" si="22"/>
        <v>0</v>
      </c>
      <c r="BI36" s="90">
        <f t="shared" si="23"/>
        <v>0</v>
      </c>
      <c r="BJ36" s="103"/>
      <c r="BK36" s="88">
        <f t="shared" si="24"/>
        <v>0</v>
      </c>
      <c r="BL36" s="104"/>
      <c r="BM36" s="101"/>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row>
    <row r="37" spans="2:150" s="94" customFormat="1" ht="15" hidden="1" outlineLevel="1" thickBot="1" x14ac:dyDescent="0.35">
      <c r="B37" s="197" t="s">
        <v>217</v>
      </c>
      <c r="C37" s="87">
        <v>8</v>
      </c>
      <c r="D37" s="87" t="str">
        <f t="shared" si="31"/>
        <v>028</v>
      </c>
      <c r="F37" s="13" t="s">
        <v>46</v>
      </c>
      <c r="G37" s="14"/>
      <c r="H37" s="88">
        <f t="shared" si="25"/>
        <v>0</v>
      </c>
      <c r="I37" s="88">
        <f t="shared" si="26"/>
        <v>0</v>
      </c>
      <c r="J37" s="88">
        <f t="shared" si="11"/>
        <v>0</v>
      </c>
      <c r="K37" s="90">
        <f t="shared" si="12"/>
        <v>0</v>
      </c>
      <c r="L37" s="88">
        <f t="shared" si="5"/>
        <v>0</v>
      </c>
      <c r="M37" s="88">
        <f t="shared" si="13"/>
        <v>0</v>
      </c>
      <c r="N37" s="90">
        <f t="shared" si="14"/>
        <v>0</v>
      </c>
      <c r="O37" s="88">
        <f t="shared" si="15"/>
        <v>0</v>
      </c>
      <c r="P37" s="88">
        <f t="shared" si="16"/>
        <v>0</v>
      </c>
      <c r="Q37" s="90">
        <f t="shared" si="17"/>
        <v>0</v>
      </c>
      <c r="R37" s="102"/>
      <c r="S37" s="88"/>
      <c r="T37" s="88"/>
      <c r="U37" s="88"/>
      <c r="V37" s="88"/>
      <c r="W37" s="88"/>
      <c r="X37" s="88"/>
      <c r="Y37" s="88"/>
      <c r="Z37" s="88"/>
      <c r="AA37" s="88"/>
      <c r="AB37" s="88"/>
      <c r="AC37" s="88"/>
      <c r="AD37" s="88"/>
      <c r="AE37" s="82">
        <f t="shared" si="32"/>
        <v>0</v>
      </c>
      <c r="AF37" s="88">
        <f>SUMIF('2022 Budget Expenses Model'!$C:$C,'Summary by Department &amp; Categor'!$D37,'2022 Budget Expenses Model'!I:I)</f>
        <v>0</v>
      </c>
      <c r="AG37" s="88">
        <f>SUMIF('2022 Budget Expenses Model'!$C:$C,'Summary by Department &amp; Categor'!$D37,'2022 Budget Expenses Model'!J:J)</f>
        <v>0</v>
      </c>
      <c r="AH37" s="88">
        <f>SUMIF('2022 Budget Expenses Model'!$C:$C,'Summary by Department &amp; Categor'!$D37,'2022 Budget Expenses Model'!K:K)</f>
        <v>0</v>
      </c>
      <c r="AI37" s="88">
        <f>SUMIF('2022 Budget Expenses Model'!$C:$C,'Summary by Department &amp; Categor'!$D37,'2022 Budget Expenses Model'!L:L)</f>
        <v>0</v>
      </c>
      <c r="AJ37" s="88">
        <f>SUMIF('2022 Budget Expenses Model'!$C:$C,'Summary by Department &amp; Categor'!$D37,'2022 Budget Expenses Model'!M:M)</f>
        <v>0</v>
      </c>
      <c r="AK37" s="88">
        <f>SUMIF('2022 Budget Expenses Model'!$C:$C,'Summary by Department &amp; Categor'!$D37,'2022 Budget Expenses Model'!N:N)</f>
        <v>0</v>
      </c>
      <c r="AL37" s="88">
        <f>SUMIF('2022 Budget Expenses Model'!$C:$C,'Summary by Department &amp; Categor'!$D37,'2022 Budget Expenses Model'!O:O)</f>
        <v>0</v>
      </c>
      <c r="AM37" s="88">
        <f>SUMIF('2022 Budget Expenses Model'!$C:$C,'Summary by Department &amp; Categor'!$D37,'2022 Budget Expenses Model'!P:P)</f>
        <v>0</v>
      </c>
      <c r="AN37" s="88">
        <f>SUMIF('2022 Budget Expenses Model'!$C:$C,'Summary by Department &amp; Categor'!$D37,'2022 Budget Expenses Model'!Q:Q)</f>
        <v>0</v>
      </c>
      <c r="AO37" s="88">
        <f>SUMIF('2022 Budget Expenses Model'!$C:$C,'Summary by Department &amp; Categor'!$D37,'2022 Budget Expenses Model'!R:R)</f>
        <v>0</v>
      </c>
      <c r="AP37" s="88">
        <f>SUMIF('2022 Budget Expenses Model'!$C:$C,'Summary by Department &amp; Categor'!$D37,'2022 Budget Expenses Model'!S:S)</f>
        <v>0</v>
      </c>
      <c r="AQ37" s="88">
        <f>SUMIF('2022 Budget Expenses Model'!$C:$C,'Summary by Department &amp; Categor'!$D37,'2022 Budget Expenses Model'!T:T)</f>
        <v>0</v>
      </c>
      <c r="AR37" s="88">
        <f t="shared" si="18"/>
        <v>0</v>
      </c>
      <c r="AS37" s="88">
        <f t="shared" si="19"/>
        <v>0</v>
      </c>
      <c r="AT37" s="90">
        <f t="shared" si="20"/>
        <v>0</v>
      </c>
      <c r="AU37" s="88"/>
      <c r="AV37" s="88"/>
      <c r="AW37" s="88"/>
      <c r="AX37" s="88"/>
      <c r="AY37" s="88"/>
      <c r="AZ37" s="88"/>
      <c r="BA37" s="88"/>
      <c r="BB37" s="88"/>
      <c r="BC37" s="88"/>
      <c r="BD37" s="88"/>
      <c r="BE37" s="88"/>
      <c r="BF37" s="88"/>
      <c r="BG37" s="88">
        <f t="shared" si="21"/>
        <v>0</v>
      </c>
      <c r="BH37" s="88">
        <f t="shared" si="22"/>
        <v>0</v>
      </c>
      <c r="BI37" s="90">
        <f t="shared" si="23"/>
        <v>0</v>
      </c>
      <c r="BJ37" s="103"/>
      <c r="BK37" s="88">
        <f t="shared" si="24"/>
        <v>0</v>
      </c>
      <c r="BL37" s="104"/>
      <c r="BM37" s="101"/>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row>
    <row r="38" spans="2:150" s="94" customFormat="1" ht="15" collapsed="1" thickBot="1" x14ac:dyDescent="0.35">
      <c r="D38" s="87"/>
      <c r="F38" s="11" t="s">
        <v>135</v>
      </c>
      <c r="G38" s="14"/>
      <c r="H38" s="82">
        <f t="shared" si="25"/>
        <v>0</v>
      </c>
      <c r="I38" s="82">
        <f t="shared" si="26"/>
        <v>52500</v>
      </c>
      <c r="J38" s="82">
        <f t="shared" si="11"/>
        <v>-52500</v>
      </c>
      <c r="K38" s="83">
        <f t="shared" si="12"/>
        <v>-1</v>
      </c>
      <c r="L38" s="82">
        <f t="shared" si="5"/>
        <v>0</v>
      </c>
      <c r="M38" s="82">
        <f t="shared" si="13"/>
        <v>0</v>
      </c>
      <c r="N38" s="83">
        <f t="shared" si="14"/>
        <v>0</v>
      </c>
      <c r="O38" s="82">
        <f t="shared" si="15"/>
        <v>0</v>
      </c>
      <c r="P38" s="82">
        <f t="shared" si="16"/>
        <v>0</v>
      </c>
      <c r="Q38" s="83">
        <f t="shared" si="17"/>
        <v>0</v>
      </c>
      <c r="R38" s="102"/>
      <c r="S38" s="82">
        <f>SUM(S39:S46)</f>
        <v>0</v>
      </c>
      <c r="T38" s="82">
        <f t="shared" ref="T38" si="67">SUM(T39:T46)</f>
        <v>0</v>
      </c>
      <c r="U38" s="82">
        <f t="shared" ref="U38" si="68">SUM(U39:U46)</f>
        <v>0</v>
      </c>
      <c r="V38" s="82">
        <f t="shared" ref="V38" si="69">SUM(V39:V46)</f>
        <v>0</v>
      </c>
      <c r="W38" s="82">
        <f t="shared" ref="W38" si="70">SUM(W39:W46)</f>
        <v>0</v>
      </c>
      <c r="X38" s="82">
        <f t="shared" ref="X38" si="71">SUM(X39:X46)</f>
        <v>0</v>
      </c>
      <c r="Y38" s="82">
        <f t="shared" ref="Y38" si="72">SUM(Y39:Y46)</f>
        <v>0</v>
      </c>
      <c r="Z38" s="82">
        <f t="shared" ref="Z38" si="73">SUM(Z39:Z46)</f>
        <v>0</v>
      </c>
      <c r="AA38" s="82">
        <f t="shared" ref="AA38" si="74">SUM(AA39:AA46)</f>
        <v>0</v>
      </c>
      <c r="AB38" s="82">
        <f t="shared" ref="AB38" si="75">SUM(AB39:AB46)</f>
        <v>0</v>
      </c>
      <c r="AC38" s="82">
        <f t="shared" ref="AC38" si="76">SUM(AC39:AC46)</f>
        <v>0</v>
      </c>
      <c r="AD38" s="82">
        <f t="shared" ref="AD38" si="77">SUM(AD39:AD46)</f>
        <v>0</v>
      </c>
      <c r="AE38" s="82">
        <v>128602.65999999999</v>
      </c>
      <c r="AF38" s="82">
        <f>SUM(AF39:AF46)</f>
        <v>40000</v>
      </c>
      <c r="AG38" s="82">
        <f t="shared" ref="AG38" si="78">SUM(AG39:AG46)</f>
        <v>40000</v>
      </c>
      <c r="AH38" s="82">
        <f t="shared" ref="AH38" si="79">SUM(AH39:AH46)</f>
        <v>52500</v>
      </c>
      <c r="AI38" s="82">
        <f t="shared" ref="AI38" si="80">SUM(AI39:AI46)</f>
        <v>52500</v>
      </c>
      <c r="AJ38" s="82">
        <f t="shared" ref="AJ38" si="81">SUM(AJ39:AJ46)</f>
        <v>52500</v>
      </c>
      <c r="AK38" s="82">
        <f t="shared" ref="AK38" si="82">SUM(AK39:AK46)</f>
        <v>52500</v>
      </c>
      <c r="AL38" s="82">
        <f t="shared" ref="AL38" si="83">SUM(AL39:AL46)</f>
        <v>52500</v>
      </c>
      <c r="AM38" s="82">
        <f t="shared" ref="AM38" si="84">SUM(AM39:AM46)</f>
        <v>52500</v>
      </c>
      <c r="AN38" s="82">
        <f t="shared" ref="AN38" si="85">SUM(AN39:AN46)</f>
        <v>52500</v>
      </c>
      <c r="AO38" s="82">
        <f t="shared" ref="AO38" si="86">SUM(AO39:AO46)</f>
        <v>52500</v>
      </c>
      <c r="AP38" s="82">
        <f t="shared" ref="AP38" si="87">SUM(AP39:AP46)</f>
        <v>52500</v>
      </c>
      <c r="AQ38" s="82">
        <f t="shared" ref="AQ38" si="88">SUM(AQ39:AQ46)</f>
        <v>52500</v>
      </c>
      <c r="AR38" s="82">
        <f t="shared" si="18"/>
        <v>605000</v>
      </c>
      <c r="AS38" s="82">
        <f t="shared" si="19"/>
        <v>-476397.34</v>
      </c>
      <c r="AT38" s="83">
        <f t="shared" si="20"/>
        <v>-0.78743361983471083</v>
      </c>
      <c r="AU38" s="82">
        <f>SUM(AU39:AU46)</f>
        <v>0</v>
      </c>
      <c r="AV38" s="82">
        <f t="shared" ref="AV38" si="89">SUM(AV39:AV46)</f>
        <v>0</v>
      </c>
      <c r="AW38" s="82">
        <f t="shared" ref="AW38" si="90">SUM(AW39:AW46)</f>
        <v>0</v>
      </c>
      <c r="AX38" s="82">
        <f t="shared" ref="AX38" si="91">SUM(AX39:AX46)</f>
        <v>0</v>
      </c>
      <c r="AY38" s="82">
        <f t="shared" ref="AY38" si="92">SUM(AY39:AY46)</f>
        <v>0</v>
      </c>
      <c r="AZ38" s="82">
        <f t="shared" ref="AZ38" si="93">SUM(AZ39:AZ46)</f>
        <v>0</v>
      </c>
      <c r="BA38" s="82">
        <f t="shared" ref="BA38" si="94">SUM(BA39:BA46)</f>
        <v>0</v>
      </c>
      <c r="BB38" s="82">
        <f t="shared" ref="BB38" si="95">SUM(BB39:BB46)</f>
        <v>0</v>
      </c>
      <c r="BC38" s="82">
        <f t="shared" ref="BC38" si="96">SUM(BC39:BC46)</f>
        <v>0</v>
      </c>
      <c r="BD38" s="82">
        <f t="shared" ref="BD38" si="97">SUM(BD39:BD46)</f>
        <v>0</v>
      </c>
      <c r="BE38" s="82">
        <f t="shared" ref="BE38" si="98">SUM(BE39:BE46)</f>
        <v>0</v>
      </c>
      <c r="BF38" s="82">
        <f t="shared" ref="BF38" si="99">SUM(BF39:BF46)</f>
        <v>0</v>
      </c>
      <c r="BG38" s="82">
        <f t="shared" si="21"/>
        <v>0</v>
      </c>
      <c r="BH38" s="82">
        <f t="shared" si="22"/>
        <v>128602.65999999999</v>
      </c>
      <c r="BI38" s="83">
        <f t="shared" si="23"/>
        <v>0</v>
      </c>
      <c r="BJ38" s="103"/>
      <c r="BK38" s="82">
        <f t="shared" ref="BK38" si="100">SUM(BK39:BK46)</f>
        <v>605000</v>
      </c>
      <c r="BL38" s="104"/>
      <c r="BM38" s="101"/>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row>
    <row r="39" spans="2:150" s="94" customFormat="1" ht="15" hidden="1" outlineLevel="1" thickBot="1" x14ac:dyDescent="0.35">
      <c r="B39" s="198" t="s">
        <v>218</v>
      </c>
      <c r="C39" s="87">
        <v>2</v>
      </c>
      <c r="D39" s="87" t="str">
        <f t="shared" si="31"/>
        <v>032</v>
      </c>
      <c r="F39" s="13" t="s">
        <v>233</v>
      </c>
      <c r="G39" s="14"/>
      <c r="H39" s="88">
        <f t="shared" si="25"/>
        <v>0</v>
      </c>
      <c r="I39" s="88">
        <f t="shared" si="26"/>
        <v>52500</v>
      </c>
      <c r="J39" s="88">
        <f t="shared" si="11"/>
        <v>-52500</v>
      </c>
      <c r="K39" s="90">
        <f t="shared" si="12"/>
        <v>-1</v>
      </c>
      <c r="L39" s="88">
        <f t="shared" si="5"/>
        <v>0</v>
      </c>
      <c r="M39" s="88">
        <f t="shared" si="13"/>
        <v>0</v>
      </c>
      <c r="N39" s="90">
        <f t="shared" si="14"/>
        <v>0</v>
      </c>
      <c r="O39" s="88">
        <f t="shared" si="15"/>
        <v>0</v>
      </c>
      <c r="P39" s="88">
        <f t="shared" si="16"/>
        <v>0</v>
      </c>
      <c r="Q39" s="90">
        <f t="shared" si="17"/>
        <v>0</v>
      </c>
      <c r="R39" s="102"/>
      <c r="S39" s="88"/>
      <c r="T39" s="88"/>
      <c r="U39" s="88"/>
      <c r="V39" s="88"/>
      <c r="W39" s="88"/>
      <c r="X39" s="88"/>
      <c r="Y39" s="88"/>
      <c r="Z39" s="88"/>
      <c r="AA39" s="88"/>
      <c r="AB39" s="88"/>
      <c r="AC39" s="88"/>
      <c r="AD39" s="88"/>
      <c r="AE39" s="82">
        <v>124800</v>
      </c>
      <c r="AF39" s="88">
        <f>SUMIF('2022 Budget Expenses Model'!$C:$C,'Summary by Department &amp; Categor'!$D39,'2022 Budget Expenses Model'!I:I)</f>
        <v>40000</v>
      </c>
      <c r="AG39" s="88">
        <f>SUMIF('2022 Budget Expenses Model'!$C:$C,'Summary by Department &amp; Categor'!$D39,'2022 Budget Expenses Model'!J:J)</f>
        <v>40000</v>
      </c>
      <c r="AH39" s="88">
        <f>SUMIF('2022 Budget Expenses Model'!$C:$C,'Summary by Department &amp; Categor'!$D39,'2022 Budget Expenses Model'!K:K)</f>
        <v>52500</v>
      </c>
      <c r="AI39" s="88">
        <f>SUMIF('2022 Budget Expenses Model'!$C:$C,'Summary by Department &amp; Categor'!$D39,'2022 Budget Expenses Model'!L:L)</f>
        <v>52500</v>
      </c>
      <c r="AJ39" s="88">
        <f>SUMIF('2022 Budget Expenses Model'!$C:$C,'Summary by Department &amp; Categor'!$D39,'2022 Budget Expenses Model'!M:M)</f>
        <v>52500</v>
      </c>
      <c r="AK39" s="88">
        <f>SUMIF('2022 Budget Expenses Model'!$C:$C,'Summary by Department &amp; Categor'!$D39,'2022 Budget Expenses Model'!N:N)</f>
        <v>52500</v>
      </c>
      <c r="AL39" s="88">
        <f>SUMIF('2022 Budget Expenses Model'!$C:$C,'Summary by Department &amp; Categor'!$D39,'2022 Budget Expenses Model'!O:O)</f>
        <v>52500</v>
      </c>
      <c r="AM39" s="88">
        <f>SUMIF('2022 Budget Expenses Model'!$C:$C,'Summary by Department &amp; Categor'!$D39,'2022 Budget Expenses Model'!P:P)</f>
        <v>52500</v>
      </c>
      <c r="AN39" s="88">
        <f>SUMIF('2022 Budget Expenses Model'!$C:$C,'Summary by Department &amp; Categor'!$D39,'2022 Budget Expenses Model'!Q:Q)</f>
        <v>52500</v>
      </c>
      <c r="AO39" s="88">
        <f>SUMIF('2022 Budget Expenses Model'!$C:$C,'Summary by Department &amp; Categor'!$D39,'2022 Budget Expenses Model'!R:R)</f>
        <v>52500</v>
      </c>
      <c r="AP39" s="88">
        <f>SUMIF('2022 Budget Expenses Model'!$C:$C,'Summary by Department &amp; Categor'!$D39,'2022 Budget Expenses Model'!S:S)</f>
        <v>52500</v>
      </c>
      <c r="AQ39" s="88">
        <f>SUMIF('2022 Budget Expenses Model'!$C:$C,'Summary by Department &amp; Categor'!$D39,'2022 Budget Expenses Model'!T:T)</f>
        <v>52500</v>
      </c>
      <c r="AR39" s="88">
        <f t="shared" si="18"/>
        <v>605000</v>
      </c>
      <c r="AS39" s="88">
        <f t="shared" si="19"/>
        <v>-480200</v>
      </c>
      <c r="AT39" s="90">
        <f t="shared" si="20"/>
        <v>-0.79371900826446284</v>
      </c>
      <c r="AU39" s="88"/>
      <c r="AV39" s="88"/>
      <c r="AW39" s="88"/>
      <c r="AX39" s="88"/>
      <c r="AY39" s="88"/>
      <c r="AZ39" s="88"/>
      <c r="BA39" s="88"/>
      <c r="BB39" s="88"/>
      <c r="BC39" s="88"/>
      <c r="BD39" s="88"/>
      <c r="BE39" s="88"/>
      <c r="BF39" s="88"/>
      <c r="BG39" s="88">
        <f t="shared" si="21"/>
        <v>0</v>
      </c>
      <c r="BH39" s="88">
        <f t="shared" si="22"/>
        <v>124800</v>
      </c>
      <c r="BI39" s="90">
        <f t="shared" si="23"/>
        <v>0</v>
      </c>
      <c r="BJ39" s="103"/>
      <c r="BK39" s="88">
        <f t="shared" si="24"/>
        <v>605000</v>
      </c>
      <c r="BL39" s="104"/>
      <c r="BM39" s="101"/>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row>
    <row r="40" spans="2:150" s="94" customFormat="1" ht="15" hidden="1" outlineLevel="1" thickBot="1" x14ac:dyDescent="0.35">
      <c r="B40" s="198" t="s">
        <v>218</v>
      </c>
      <c r="C40" s="87">
        <v>1</v>
      </c>
      <c r="D40" s="87" t="str">
        <f t="shared" si="31"/>
        <v>031</v>
      </c>
      <c r="F40" s="13" t="s">
        <v>440</v>
      </c>
      <c r="G40" s="14"/>
      <c r="H40" s="88">
        <f t="shared" si="25"/>
        <v>0</v>
      </c>
      <c r="I40" s="88">
        <f t="shared" si="26"/>
        <v>0</v>
      </c>
      <c r="J40" s="88">
        <f t="shared" si="11"/>
        <v>0</v>
      </c>
      <c r="K40" s="90">
        <f t="shared" si="12"/>
        <v>0</v>
      </c>
      <c r="L40" s="88">
        <f t="shared" si="5"/>
        <v>0</v>
      </c>
      <c r="M40" s="88">
        <f t="shared" si="13"/>
        <v>0</v>
      </c>
      <c r="N40" s="90">
        <f t="shared" si="14"/>
        <v>0</v>
      </c>
      <c r="O40" s="88">
        <f t="shared" si="15"/>
        <v>0</v>
      </c>
      <c r="P40" s="88">
        <f t="shared" si="16"/>
        <v>0</v>
      </c>
      <c r="Q40" s="90">
        <f t="shared" si="17"/>
        <v>0</v>
      </c>
      <c r="R40" s="102"/>
      <c r="S40" s="88"/>
      <c r="T40" s="88"/>
      <c r="U40" s="88"/>
      <c r="V40" s="88"/>
      <c r="W40" s="88"/>
      <c r="X40" s="88"/>
      <c r="Y40" s="88"/>
      <c r="Z40" s="88"/>
      <c r="AA40" s="88"/>
      <c r="AB40" s="88"/>
      <c r="AC40" s="88"/>
      <c r="AD40" s="88"/>
      <c r="AE40" s="82">
        <v>0</v>
      </c>
      <c r="AF40" s="88">
        <f>SUMIF('2022 Budget Expenses Model'!$C:$C,'Summary by Department &amp; Categor'!$D40,'2022 Budget Expenses Model'!I:I)</f>
        <v>0</v>
      </c>
      <c r="AG40" s="88">
        <f>SUMIF('2022 Budget Expenses Model'!$C:$C,'Summary by Department &amp; Categor'!$D40,'2022 Budget Expenses Model'!J:J)</f>
        <v>0</v>
      </c>
      <c r="AH40" s="88">
        <f>SUMIF('2022 Budget Expenses Model'!$C:$C,'Summary by Department &amp; Categor'!$D40,'2022 Budget Expenses Model'!K:K)</f>
        <v>0</v>
      </c>
      <c r="AI40" s="88">
        <f>SUMIF('2022 Budget Expenses Model'!$C:$C,'Summary by Department &amp; Categor'!$D40,'2022 Budget Expenses Model'!L:L)</f>
        <v>0</v>
      </c>
      <c r="AJ40" s="88">
        <f>SUMIF('2022 Budget Expenses Model'!$C:$C,'Summary by Department &amp; Categor'!$D40,'2022 Budget Expenses Model'!M:M)</f>
        <v>0</v>
      </c>
      <c r="AK40" s="88">
        <f>SUMIF('2022 Budget Expenses Model'!$C:$C,'Summary by Department &amp; Categor'!$D40,'2022 Budget Expenses Model'!N:N)</f>
        <v>0</v>
      </c>
      <c r="AL40" s="88">
        <f>SUMIF('2022 Budget Expenses Model'!$C:$C,'Summary by Department &amp; Categor'!$D40,'2022 Budget Expenses Model'!O:O)</f>
        <v>0</v>
      </c>
      <c r="AM40" s="88">
        <f>SUMIF('2022 Budget Expenses Model'!$C:$C,'Summary by Department &amp; Categor'!$D40,'2022 Budget Expenses Model'!P:P)</f>
        <v>0</v>
      </c>
      <c r="AN40" s="88">
        <f>SUMIF('2022 Budget Expenses Model'!$C:$C,'Summary by Department &amp; Categor'!$D40,'2022 Budget Expenses Model'!Q:Q)</f>
        <v>0</v>
      </c>
      <c r="AO40" s="88">
        <f>SUMIF('2022 Budget Expenses Model'!$C:$C,'Summary by Department &amp; Categor'!$D40,'2022 Budget Expenses Model'!R:R)</f>
        <v>0</v>
      </c>
      <c r="AP40" s="88">
        <f>SUMIF('2022 Budget Expenses Model'!$C:$C,'Summary by Department &amp; Categor'!$D40,'2022 Budget Expenses Model'!S:S)</f>
        <v>0</v>
      </c>
      <c r="AQ40" s="88">
        <f>SUMIF('2022 Budget Expenses Model'!$C:$C,'Summary by Department &amp; Categor'!$D40,'2022 Budget Expenses Model'!T:T)</f>
        <v>0</v>
      </c>
      <c r="AR40" s="88">
        <f t="shared" si="18"/>
        <v>0</v>
      </c>
      <c r="AS40" s="88">
        <f t="shared" si="19"/>
        <v>0</v>
      </c>
      <c r="AT40" s="90">
        <f t="shared" si="20"/>
        <v>0</v>
      </c>
      <c r="AU40" s="88"/>
      <c r="AV40" s="88"/>
      <c r="AW40" s="88"/>
      <c r="AX40" s="88"/>
      <c r="AY40" s="88"/>
      <c r="AZ40" s="88"/>
      <c r="BA40" s="88"/>
      <c r="BB40" s="88"/>
      <c r="BC40" s="88"/>
      <c r="BD40" s="88"/>
      <c r="BE40" s="88"/>
      <c r="BF40" s="88"/>
      <c r="BG40" s="88">
        <f t="shared" si="21"/>
        <v>0</v>
      </c>
      <c r="BH40" s="88">
        <f t="shared" si="22"/>
        <v>0</v>
      </c>
      <c r="BI40" s="90">
        <f t="shared" si="23"/>
        <v>0</v>
      </c>
      <c r="BJ40" s="103"/>
      <c r="BK40" s="88">
        <f t="shared" si="24"/>
        <v>0</v>
      </c>
      <c r="BL40" s="104"/>
      <c r="BM40" s="101"/>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row>
    <row r="41" spans="2:150" s="94" customFormat="1" ht="15" hidden="1" outlineLevel="1" thickBot="1" x14ac:dyDescent="0.35">
      <c r="B41" s="198" t="s">
        <v>218</v>
      </c>
      <c r="C41" s="87">
        <v>3</v>
      </c>
      <c r="D41" s="87" t="str">
        <f t="shared" si="31"/>
        <v>033</v>
      </c>
      <c r="F41" s="13" t="s">
        <v>238</v>
      </c>
      <c r="G41" s="14"/>
      <c r="H41" s="88">
        <f t="shared" si="25"/>
        <v>0</v>
      </c>
      <c r="I41" s="88">
        <f t="shared" si="26"/>
        <v>0</v>
      </c>
      <c r="J41" s="88">
        <f t="shared" si="11"/>
        <v>0</v>
      </c>
      <c r="K41" s="90">
        <f t="shared" si="12"/>
        <v>0</v>
      </c>
      <c r="L41" s="88">
        <f t="shared" si="5"/>
        <v>0</v>
      </c>
      <c r="M41" s="88">
        <f t="shared" si="13"/>
        <v>0</v>
      </c>
      <c r="N41" s="90">
        <f t="shared" si="14"/>
        <v>0</v>
      </c>
      <c r="O41" s="88">
        <f t="shared" si="15"/>
        <v>0</v>
      </c>
      <c r="P41" s="88">
        <f t="shared" si="16"/>
        <v>0</v>
      </c>
      <c r="Q41" s="90">
        <f t="shared" si="17"/>
        <v>0</v>
      </c>
      <c r="R41" s="102"/>
      <c r="S41" s="88"/>
      <c r="T41" s="88"/>
      <c r="U41" s="88"/>
      <c r="V41" s="88"/>
      <c r="W41" s="88"/>
      <c r="X41" s="88"/>
      <c r="Y41" s="88"/>
      <c r="Z41" s="88"/>
      <c r="AA41" s="88"/>
      <c r="AB41" s="88"/>
      <c r="AC41" s="88"/>
      <c r="AD41" s="88"/>
      <c r="AE41" s="82">
        <v>2248.71</v>
      </c>
      <c r="AF41" s="88">
        <f>SUMIF('2022 Budget Expenses Model'!$C:$C,'Summary by Department &amp; Categor'!$D41,'2022 Budget Expenses Model'!I:I)</f>
        <v>0</v>
      </c>
      <c r="AG41" s="88">
        <f>SUMIF('2022 Budget Expenses Model'!$C:$C,'Summary by Department &amp; Categor'!$D41,'2022 Budget Expenses Model'!J:J)</f>
        <v>0</v>
      </c>
      <c r="AH41" s="88">
        <f>SUMIF('2022 Budget Expenses Model'!$C:$C,'Summary by Department &amp; Categor'!$D41,'2022 Budget Expenses Model'!K:K)</f>
        <v>0</v>
      </c>
      <c r="AI41" s="88">
        <f>SUMIF('2022 Budget Expenses Model'!$C:$C,'Summary by Department &amp; Categor'!$D41,'2022 Budget Expenses Model'!L:L)</f>
        <v>0</v>
      </c>
      <c r="AJ41" s="88">
        <f>SUMIF('2022 Budget Expenses Model'!$C:$C,'Summary by Department &amp; Categor'!$D41,'2022 Budget Expenses Model'!M:M)</f>
        <v>0</v>
      </c>
      <c r="AK41" s="88">
        <f>SUMIF('2022 Budget Expenses Model'!$C:$C,'Summary by Department &amp; Categor'!$D41,'2022 Budget Expenses Model'!N:N)</f>
        <v>0</v>
      </c>
      <c r="AL41" s="88">
        <f>SUMIF('2022 Budget Expenses Model'!$C:$C,'Summary by Department &amp; Categor'!$D41,'2022 Budget Expenses Model'!O:O)</f>
        <v>0</v>
      </c>
      <c r="AM41" s="88">
        <f>SUMIF('2022 Budget Expenses Model'!$C:$C,'Summary by Department &amp; Categor'!$D41,'2022 Budget Expenses Model'!P:P)</f>
        <v>0</v>
      </c>
      <c r="AN41" s="88">
        <f>SUMIF('2022 Budget Expenses Model'!$C:$C,'Summary by Department &amp; Categor'!$D41,'2022 Budget Expenses Model'!Q:Q)</f>
        <v>0</v>
      </c>
      <c r="AO41" s="88">
        <f>SUMIF('2022 Budget Expenses Model'!$C:$C,'Summary by Department &amp; Categor'!$D41,'2022 Budget Expenses Model'!R:R)</f>
        <v>0</v>
      </c>
      <c r="AP41" s="88">
        <f>SUMIF('2022 Budget Expenses Model'!$C:$C,'Summary by Department &amp; Categor'!$D41,'2022 Budget Expenses Model'!S:S)</f>
        <v>0</v>
      </c>
      <c r="AQ41" s="88">
        <f>SUMIF('2022 Budget Expenses Model'!$C:$C,'Summary by Department &amp; Categor'!$D41,'2022 Budget Expenses Model'!T:T)</f>
        <v>0</v>
      </c>
      <c r="AR41" s="88">
        <f t="shared" si="18"/>
        <v>0</v>
      </c>
      <c r="AS41" s="88">
        <f t="shared" si="19"/>
        <v>2248.71</v>
      </c>
      <c r="AT41" s="90">
        <f t="shared" si="20"/>
        <v>0</v>
      </c>
      <c r="AU41" s="88"/>
      <c r="AV41" s="88"/>
      <c r="AW41" s="88"/>
      <c r="AX41" s="88"/>
      <c r="AY41" s="88"/>
      <c r="AZ41" s="88"/>
      <c r="BA41" s="88"/>
      <c r="BB41" s="88"/>
      <c r="BC41" s="88"/>
      <c r="BD41" s="88"/>
      <c r="BE41" s="88"/>
      <c r="BF41" s="88"/>
      <c r="BG41" s="88">
        <f t="shared" si="21"/>
        <v>0</v>
      </c>
      <c r="BH41" s="88">
        <f t="shared" si="22"/>
        <v>2248.71</v>
      </c>
      <c r="BI41" s="90">
        <f t="shared" si="23"/>
        <v>0</v>
      </c>
      <c r="BJ41" s="103"/>
      <c r="BK41" s="88">
        <f t="shared" si="24"/>
        <v>0</v>
      </c>
      <c r="BL41" s="104"/>
      <c r="BM41" s="101"/>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row>
    <row r="42" spans="2:150" s="94" customFormat="1" ht="15" hidden="1" outlineLevel="1" thickBot="1" x14ac:dyDescent="0.35">
      <c r="B42" s="198" t="s">
        <v>218</v>
      </c>
      <c r="C42" s="87">
        <v>4</v>
      </c>
      <c r="D42" s="87" t="str">
        <f t="shared" si="31"/>
        <v>034</v>
      </c>
      <c r="F42" s="13" t="s">
        <v>244</v>
      </c>
      <c r="G42" s="14"/>
      <c r="H42" s="88">
        <f t="shared" si="25"/>
        <v>0</v>
      </c>
      <c r="I42" s="88">
        <f t="shared" si="26"/>
        <v>0</v>
      </c>
      <c r="J42" s="88">
        <f t="shared" si="11"/>
        <v>0</v>
      </c>
      <c r="K42" s="90">
        <f t="shared" si="12"/>
        <v>0</v>
      </c>
      <c r="L42" s="88">
        <f t="shared" si="5"/>
        <v>0</v>
      </c>
      <c r="M42" s="88">
        <f t="shared" si="13"/>
        <v>0</v>
      </c>
      <c r="N42" s="90">
        <f t="shared" si="14"/>
        <v>0</v>
      </c>
      <c r="O42" s="88">
        <f t="shared" si="15"/>
        <v>0</v>
      </c>
      <c r="P42" s="88">
        <f t="shared" si="16"/>
        <v>0</v>
      </c>
      <c r="Q42" s="90">
        <f t="shared" si="17"/>
        <v>0</v>
      </c>
      <c r="R42" s="102"/>
      <c r="S42" s="88"/>
      <c r="T42" s="88"/>
      <c r="U42" s="88"/>
      <c r="V42" s="88"/>
      <c r="W42" s="88"/>
      <c r="X42" s="88"/>
      <c r="Y42" s="88"/>
      <c r="Z42" s="88"/>
      <c r="AA42" s="88"/>
      <c r="AB42" s="88"/>
      <c r="AC42" s="88"/>
      <c r="AD42" s="88"/>
      <c r="AE42" s="82">
        <v>0</v>
      </c>
      <c r="AF42" s="88">
        <f>SUMIF('2022 Budget Expenses Model'!$C:$C,'Summary by Department &amp; Categor'!$D42,'2022 Budget Expenses Model'!I:I)</f>
        <v>0</v>
      </c>
      <c r="AG42" s="88">
        <f>SUMIF('2022 Budget Expenses Model'!$C:$C,'Summary by Department &amp; Categor'!$D42,'2022 Budget Expenses Model'!J:J)</f>
        <v>0</v>
      </c>
      <c r="AH42" s="88">
        <f>SUMIF('2022 Budget Expenses Model'!$C:$C,'Summary by Department &amp; Categor'!$D42,'2022 Budget Expenses Model'!K:K)</f>
        <v>0</v>
      </c>
      <c r="AI42" s="88">
        <f>SUMIF('2022 Budget Expenses Model'!$C:$C,'Summary by Department &amp; Categor'!$D42,'2022 Budget Expenses Model'!L:L)</f>
        <v>0</v>
      </c>
      <c r="AJ42" s="88">
        <f>SUMIF('2022 Budget Expenses Model'!$C:$C,'Summary by Department &amp; Categor'!$D42,'2022 Budget Expenses Model'!M:M)</f>
        <v>0</v>
      </c>
      <c r="AK42" s="88">
        <f>SUMIF('2022 Budget Expenses Model'!$C:$C,'Summary by Department &amp; Categor'!$D42,'2022 Budget Expenses Model'!N:N)</f>
        <v>0</v>
      </c>
      <c r="AL42" s="88">
        <f>SUMIF('2022 Budget Expenses Model'!$C:$C,'Summary by Department &amp; Categor'!$D42,'2022 Budget Expenses Model'!O:O)</f>
        <v>0</v>
      </c>
      <c r="AM42" s="88">
        <f>SUMIF('2022 Budget Expenses Model'!$C:$C,'Summary by Department &amp; Categor'!$D42,'2022 Budget Expenses Model'!P:P)</f>
        <v>0</v>
      </c>
      <c r="AN42" s="88">
        <f>SUMIF('2022 Budget Expenses Model'!$C:$C,'Summary by Department &amp; Categor'!$D42,'2022 Budget Expenses Model'!Q:Q)</f>
        <v>0</v>
      </c>
      <c r="AO42" s="88">
        <f>SUMIF('2022 Budget Expenses Model'!$C:$C,'Summary by Department &amp; Categor'!$D42,'2022 Budget Expenses Model'!R:R)</f>
        <v>0</v>
      </c>
      <c r="AP42" s="88">
        <f>SUMIF('2022 Budget Expenses Model'!$C:$C,'Summary by Department &amp; Categor'!$D42,'2022 Budget Expenses Model'!S:S)</f>
        <v>0</v>
      </c>
      <c r="AQ42" s="88">
        <f>SUMIF('2022 Budget Expenses Model'!$C:$C,'Summary by Department &amp; Categor'!$D42,'2022 Budget Expenses Model'!T:T)</f>
        <v>0</v>
      </c>
      <c r="AR42" s="88">
        <f t="shared" si="18"/>
        <v>0</v>
      </c>
      <c r="AS42" s="88">
        <f t="shared" si="19"/>
        <v>0</v>
      </c>
      <c r="AT42" s="90">
        <f t="shared" si="20"/>
        <v>0</v>
      </c>
      <c r="AU42" s="88"/>
      <c r="AV42" s="88"/>
      <c r="AW42" s="88"/>
      <c r="AX42" s="88"/>
      <c r="AY42" s="88"/>
      <c r="AZ42" s="88"/>
      <c r="BA42" s="88"/>
      <c r="BB42" s="88"/>
      <c r="BC42" s="88"/>
      <c r="BD42" s="88"/>
      <c r="BE42" s="88"/>
      <c r="BF42" s="88"/>
      <c r="BG42" s="88">
        <f t="shared" si="21"/>
        <v>0</v>
      </c>
      <c r="BH42" s="88">
        <f t="shared" si="22"/>
        <v>0</v>
      </c>
      <c r="BI42" s="90">
        <f t="shared" si="23"/>
        <v>0</v>
      </c>
      <c r="BJ42" s="103"/>
      <c r="BK42" s="88">
        <f t="shared" si="24"/>
        <v>0</v>
      </c>
      <c r="BL42" s="104"/>
      <c r="BM42" s="101"/>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row>
    <row r="43" spans="2:150" s="94" customFormat="1" ht="15" hidden="1" outlineLevel="1" thickBot="1" x14ac:dyDescent="0.35">
      <c r="B43" s="198" t="s">
        <v>218</v>
      </c>
      <c r="C43" s="87">
        <v>5</v>
      </c>
      <c r="D43" s="87" t="str">
        <f t="shared" si="31"/>
        <v>035</v>
      </c>
      <c r="F43" s="13" t="s">
        <v>251</v>
      </c>
      <c r="G43" s="14"/>
      <c r="H43" s="88">
        <f t="shared" si="25"/>
        <v>0</v>
      </c>
      <c r="I43" s="88">
        <f t="shared" si="26"/>
        <v>0</v>
      </c>
      <c r="J43" s="88">
        <f t="shared" si="11"/>
        <v>0</v>
      </c>
      <c r="K43" s="90">
        <f t="shared" si="12"/>
        <v>0</v>
      </c>
      <c r="L43" s="88">
        <f t="shared" si="5"/>
        <v>0</v>
      </c>
      <c r="M43" s="88">
        <f t="shared" si="13"/>
        <v>0</v>
      </c>
      <c r="N43" s="90">
        <f t="shared" si="14"/>
        <v>0</v>
      </c>
      <c r="O43" s="88">
        <f t="shared" si="15"/>
        <v>0</v>
      </c>
      <c r="P43" s="88">
        <f t="shared" si="16"/>
        <v>0</v>
      </c>
      <c r="Q43" s="90">
        <f t="shared" si="17"/>
        <v>0</v>
      </c>
      <c r="R43" s="102"/>
      <c r="S43" s="88"/>
      <c r="T43" s="88"/>
      <c r="U43" s="88"/>
      <c r="V43" s="88"/>
      <c r="W43" s="88"/>
      <c r="X43" s="88"/>
      <c r="Y43" s="88"/>
      <c r="Z43" s="88"/>
      <c r="AA43" s="88"/>
      <c r="AB43" s="88"/>
      <c r="AC43" s="88"/>
      <c r="AD43" s="88"/>
      <c r="AE43" s="82">
        <v>0</v>
      </c>
      <c r="AF43" s="88">
        <f>SUMIF('2022 Budget Expenses Model'!$C:$C,'Summary by Department &amp; Categor'!$D43,'2022 Budget Expenses Model'!I:I)</f>
        <v>0</v>
      </c>
      <c r="AG43" s="88">
        <f>SUMIF('2022 Budget Expenses Model'!$C:$C,'Summary by Department &amp; Categor'!$D43,'2022 Budget Expenses Model'!J:J)</f>
        <v>0</v>
      </c>
      <c r="AH43" s="88">
        <f>SUMIF('2022 Budget Expenses Model'!$C:$C,'Summary by Department &amp; Categor'!$D43,'2022 Budget Expenses Model'!K:K)</f>
        <v>0</v>
      </c>
      <c r="AI43" s="88">
        <f>SUMIF('2022 Budget Expenses Model'!$C:$C,'Summary by Department &amp; Categor'!$D43,'2022 Budget Expenses Model'!L:L)</f>
        <v>0</v>
      </c>
      <c r="AJ43" s="88">
        <f>SUMIF('2022 Budget Expenses Model'!$C:$C,'Summary by Department &amp; Categor'!$D43,'2022 Budget Expenses Model'!M:M)</f>
        <v>0</v>
      </c>
      <c r="AK43" s="88">
        <f>SUMIF('2022 Budget Expenses Model'!$C:$C,'Summary by Department &amp; Categor'!$D43,'2022 Budget Expenses Model'!N:N)</f>
        <v>0</v>
      </c>
      <c r="AL43" s="88">
        <f>SUMIF('2022 Budget Expenses Model'!$C:$C,'Summary by Department &amp; Categor'!$D43,'2022 Budget Expenses Model'!O:O)</f>
        <v>0</v>
      </c>
      <c r="AM43" s="88">
        <f>SUMIF('2022 Budget Expenses Model'!$C:$C,'Summary by Department &amp; Categor'!$D43,'2022 Budget Expenses Model'!P:P)</f>
        <v>0</v>
      </c>
      <c r="AN43" s="88">
        <f>SUMIF('2022 Budget Expenses Model'!$C:$C,'Summary by Department &amp; Categor'!$D43,'2022 Budget Expenses Model'!Q:Q)</f>
        <v>0</v>
      </c>
      <c r="AO43" s="88">
        <f>SUMIF('2022 Budget Expenses Model'!$C:$C,'Summary by Department &amp; Categor'!$D43,'2022 Budget Expenses Model'!R:R)</f>
        <v>0</v>
      </c>
      <c r="AP43" s="88">
        <f>SUMIF('2022 Budget Expenses Model'!$C:$C,'Summary by Department &amp; Categor'!$D43,'2022 Budget Expenses Model'!S:S)</f>
        <v>0</v>
      </c>
      <c r="AQ43" s="88">
        <f>SUMIF('2022 Budget Expenses Model'!$C:$C,'Summary by Department &amp; Categor'!$D43,'2022 Budget Expenses Model'!T:T)</f>
        <v>0</v>
      </c>
      <c r="AR43" s="88">
        <f t="shared" si="18"/>
        <v>0</v>
      </c>
      <c r="AS43" s="88">
        <f t="shared" si="19"/>
        <v>0</v>
      </c>
      <c r="AT43" s="90">
        <f t="shared" si="20"/>
        <v>0</v>
      </c>
      <c r="AU43" s="88"/>
      <c r="AV43" s="88"/>
      <c r="AW43" s="88"/>
      <c r="AX43" s="88"/>
      <c r="AY43" s="88"/>
      <c r="AZ43" s="88"/>
      <c r="BA43" s="88"/>
      <c r="BB43" s="88"/>
      <c r="BC43" s="88"/>
      <c r="BD43" s="88"/>
      <c r="BE43" s="88"/>
      <c r="BF43" s="88"/>
      <c r="BG43" s="88">
        <f t="shared" si="21"/>
        <v>0</v>
      </c>
      <c r="BH43" s="88">
        <f t="shared" si="22"/>
        <v>0</v>
      </c>
      <c r="BI43" s="90">
        <f t="shared" si="23"/>
        <v>0</v>
      </c>
      <c r="BJ43" s="103"/>
      <c r="BK43" s="88">
        <f t="shared" si="24"/>
        <v>0</v>
      </c>
      <c r="BL43" s="104"/>
      <c r="BM43" s="101"/>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row>
    <row r="44" spans="2:150" s="94" customFormat="1" ht="15" hidden="1" outlineLevel="1" thickBot="1" x14ac:dyDescent="0.35">
      <c r="B44" s="198" t="s">
        <v>218</v>
      </c>
      <c r="C44" s="87">
        <v>6</v>
      </c>
      <c r="D44" s="87" t="str">
        <f t="shared" si="31"/>
        <v>036</v>
      </c>
      <c r="F44" s="13" t="s">
        <v>31</v>
      </c>
      <c r="G44" s="14"/>
      <c r="H44" s="88">
        <f t="shared" si="25"/>
        <v>0</v>
      </c>
      <c r="I44" s="88">
        <f t="shared" si="26"/>
        <v>0</v>
      </c>
      <c r="J44" s="88">
        <f t="shared" si="11"/>
        <v>0</v>
      </c>
      <c r="K44" s="90">
        <f t="shared" si="12"/>
        <v>0</v>
      </c>
      <c r="L44" s="88">
        <f t="shared" si="5"/>
        <v>0</v>
      </c>
      <c r="M44" s="88">
        <f t="shared" si="13"/>
        <v>0</v>
      </c>
      <c r="N44" s="90">
        <f t="shared" si="14"/>
        <v>0</v>
      </c>
      <c r="O44" s="88">
        <f t="shared" si="15"/>
        <v>0</v>
      </c>
      <c r="P44" s="88">
        <f t="shared" si="16"/>
        <v>0</v>
      </c>
      <c r="Q44" s="90">
        <f t="shared" si="17"/>
        <v>0</v>
      </c>
      <c r="R44" s="102"/>
      <c r="S44" s="88"/>
      <c r="T44" s="88"/>
      <c r="U44" s="88"/>
      <c r="V44" s="88"/>
      <c r="W44" s="88"/>
      <c r="X44" s="88"/>
      <c r="Y44" s="88"/>
      <c r="Z44" s="88"/>
      <c r="AA44" s="88"/>
      <c r="AB44" s="88"/>
      <c r="AC44" s="88"/>
      <c r="AD44" s="88"/>
      <c r="AE44" s="82">
        <v>1553.9499999999998</v>
      </c>
      <c r="AF44" s="88">
        <f>SUMIF('2022 Budget Expenses Model'!$C:$C,'Summary by Department &amp; Categor'!$D44,'2022 Budget Expenses Model'!I:I)</f>
        <v>0</v>
      </c>
      <c r="AG44" s="88">
        <f>SUMIF('2022 Budget Expenses Model'!$C:$C,'Summary by Department &amp; Categor'!$D44,'2022 Budget Expenses Model'!J:J)</f>
        <v>0</v>
      </c>
      <c r="AH44" s="88">
        <f>SUMIF('2022 Budget Expenses Model'!$C:$C,'Summary by Department &amp; Categor'!$D44,'2022 Budget Expenses Model'!K:K)</f>
        <v>0</v>
      </c>
      <c r="AI44" s="88">
        <f>SUMIF('2022 Budget Expenses Model'!$C:$C,'Summary by Department &amp; Categor'!$D44,'2022 Budget Expenses Model'!L:L)</f>
        <v>0</v>
      </c>
      <c r="AJ44" s="88">
        <f>SUMIF('2022 Budget Expenses Model'!$C:$C,'Summary by Department &amp; Categor'!$D44,'2022 Budget Expenses Model'!M:M)</f>
        <v>0</v>
      </c>
      <c r="AK44" s="88">
        <f>SUMIF('2022 Budget Expenses Model'!$C:$C,'Summary by Department &amp; Categor'!$D44,'2022 Budget Expenses Model'!N:N)</f>
        <v>0</v>
      </c>
      <c r="AL44" s="88">
        <f>SUMIF('2022 Budget Expenses Model'!$C:$C,'Summary by Department &amp; Categor'!$D44,'2022 Budget Expenses Model'!O:O)</f>
        <v>0</v>
      </c>
      <c r="AM44" s="88">
        <f>SUMIF('2022 Budget Expenses Model'!$C:$C,'Summary by Department &amp; Categor'!$D44,'2022 Budget Expenses Model'!P:P)</f>
        <v>0</v>
      </c>
      <c r="AN44" s="88">
        <f>SUMIF('2022 Budget Expenses Model'!$C:$C,'Summary by Department &amp; Categor'!$D44,'2022 Budget Expenses Model'!Q:Q)</f>
        <v>0</v>
      </c>
      <c r="AO44" s="88">
        <f>SUMIF('2022 Budget Expenses Model'!$C:$C,'Summary by Department &amp; Categor'!$D44,'2022 Budget Expenses Model'!R:R)</f>
        <v>0</v>
      </c>
      <c r="AP44" s="88">
        <f>SUMIF('2022 Budget Expenses Model'!$C:$C,'Summary by Department &amp; Categor'!$D44,'2022 Budget Expenses Model'!S:S)</f>
        <v>0</v>
      </c>
      <c r="AQ44" s="88">
        <f>SUMIF('2022 Budget Expenses Model'!$C:$C,'Summary by Department &amp; Categor'!$D44,'2022 Budget Expenses Model'!T:T)</f>
        <v>0</v>
      </c>
      <c r="AR44" s="88">
        <f t="shared" si="18"/>
        <v>0</v>
      </c>
      <c r="AS44" s="88">
        <f t="shared" si="19"/>
        <v>1553.9499999999998</v>
      </c>
      <c r="AT44" s="90">
        <f t="shared" si="20"/>
        <v>0</v>
      </c>
      <c r="AU44" s="88"/>
      <c r="AV44" s="88"/>
      <c r="AW44" s="88"/>
      <c r="AX44" s="88"/>
      <c r="AY44" s="88"/>
      <c r="AZ44" s="88"/>
      <c r="BA44" s="88"/>
      <c r="BB44" s="88"/>
      <c r="BC44" s="88"/>
      <c r="BD44" s="88"/>
      <c r="BE44" s="88"/>
      <c r="BF44" s="88"/>
      <c r="BG44" s="88">
        <f t="shared" si="21"/>
        <v>0</v>
      </c>
      <c r="BH44" s="88">
        <f t="shared" si="22"/>
        <v>1553.9499999999998</v>
      </c>
      <c r="BI44" s="90">
        <f t="shared" si="23"/>
        <v>0</v>
      </c>
      <c r="BJ44" s="103"/>
      <c r="BK44" s="88">
        <f t="shared" si="24"/>
        <v>0</v>
      </c>
      <c r="BL44" s="104"/>
      <c r="BM44" s="101"/>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row>
    <row r="45" spans="2:150" s="94" customFormat="1" ht="15" hidden="1" outlineLevel="1" thickBot="1" x14ac:dyDescent="0.35">
      <c r="B45" s="198" t="s">
        <v>218</v>
      </c>
      <c r="C45" s="87">
        <v>7</v>
      </c>
      <c r="D45" s="87" t="str">
        <f t="shared" si="31"/>
        <v>037</v>
      </c>
      <c r="F45" s="13" t="s">
        <v>256</v>
      </c>
      <c r="G45" s="14"/>
      <c r="H45" s="88">
        <f t="shared" si="25"/>
        <v>0</v>
      </c>
      <c r="I45" s="88">
        <f t="shared" si="26"/>
        <v>0</v>
      </c>
      <c r="J45" s="88">
        <f t="shared" si="11"/>
        <v>0</v>
      </c>
      <c r="K45" s="90">
        <f t="shared" si="12"/>
        <v>0</v>
      </c>
      <c r="L45" s="88">
        <f t="shared" ref="L45:L76" si="101">INDEX($S45:$AD45,MATCH($L$9,$S$9:$AD$9,0))</f>
        <v>0</v>
      </c>
      <c r="M45" s="88">
        <f t="shared" si="13"/>
        <v>0</v>
      </c>
      <c r="N45" s="90">
        <f t="shared" si="14"/>
        <v>0</v>
      </c>
      <c r="O45" s="88">
        <f t="shared" si="15"/>
        <v>0</v>
      </c>
      <c r="P45" s="88">
        <f t="shared" si="16"/>
        <v>0</v>
      </c>
      <c r="Q45" s="90">
        <f t="shared" si="17"/>
        <v>0</v>
      </c>
      <c r="R45" s="102"/>
      <c r="S45" s="88"/>
      <c r="T45" s="88"/>
      <c r="U45" s="88"/>
      <c r="V45" s="88"/>
      <c r="W45" s="88"/>
      <c r="X45" s="88"/>
      <c r="Y45" s="88"/>
      <c r="Z45" s="88"/>
      <c r="AA45" s="88"/>
      <c r="AB45" s="88"/>
      <c r="AC45" s="88"/>
      <c r="AD45" s="88"/>
      <c r="AE45" s="82">
        <v>0</v>
      </c>
      <c r="AF45" s="88">
        <f>SUMIF('2022 Budget Expenses Model'!$C:$C,'Summary by Department &amp; Categor'!$D45,'2022 Budget Expenses Model'!I:I)</f>
        <v>0</v>
      </c>
      <c r="AG45" s="88">
        <f>SUMIF('2022 Budget Expenses Model'!$C:$C,'Summary by Department &amp; Categor'!$D45,'2022 Budget Expenses Model'!J:J)</f>
        <v>0</v>
      </c>
      <c r="AH45" s="88">
        <f>SUMIF('2022 Budget Expenses Model'!$C:$C,'Summary by Department &amp; Categor'!$D45,'2022 Budget Expenses Model'!K:K)</f>
        <v>0</v>
      </c>
      <c r="AI45" s="88">
        <f>SUMIF('2022 Budget Expenses Model'!$C:$C,'Summary by Department &amp; Categor'!$D45,'2022 Budget Expenses Model'!L:L)</f>
        <v>0</v>
      </c>
      <c r="AJ45" s="88">
        <f>SUMIF('2022 Budget Expenses Model'!$C:$C,'Summary by Department &amp; Categor'!$D45,'2022 Budget Expenses Model'!M:M)</f>
        <v>0</v>
      </c>
      <c r="AK45" s="88">
        <f>SUMIF('2022 Budget Expenses Model'!$C:$C,'Summary by Department &amp; Categor'!$D45,'2022 Budget Expenses Model'!N:N)</f>
        <v>0</v>
      </c>
      <c r="AL45" s="88">
        <f>SUMIF('2022 Budget Expenses Model'!$C:$C,'Summary by Department &amp; Categor'!$D45,'2022 Budget Expenses Model'!O:O)</f>
        <v>0</v>
      </c>
      <c r="AM45" s="88">
        <f>SUMIF('2022 Budget Expenses Model'!$C:$C,'Summary by Department &amp; Categor'!$D45,'2022 Budget Expenses Model'!P:P)</f>
        <v>0</v>
      </c>
      <c r="AN45" s="88">
        <f>SUMIF('2022 Budget Expenses Model'!$C:$C,'Summary by Department &amp; Categor'!$D45,'2022 Budget Expenses Model'!Q:Q)</f>
        <v>0</v>
      </c>
      <c r="AO45" s="88">
        <f>SUMIF('2022 Budget Expenses Model'!$C:$C,'Summary by Department &amp; Categor'!$D45,'2022 Budget Expenses Model'!R:R)</f>
        <v>0</v>
      </c>
      <c r="AP45" s="88">
        <f>SUMIF('2022 Budget Expenses Model'!$C:$C,'Summary by Department &amp; Categor'!$D45,'2022 Budget Expenses Model'!S:S)</f>
        <v>0</v>
      </c>
      <c r="AQ45" s="88">
        <f>SUMIF('2022 Budget Expenses Model'!$C:$C,'Summary by Department &amp; Categor'!$D45,'2022 Budget Expenses Model'!T:T)</f>
        <v>0</v>
      </c>
      <c r="AR45" s="88">
        <f t="shared" si="18"/>
        <v>0</v>
      </c>
      <c r="AS45" s="88">
        <f t="shared" si="19"/>
        <v>0</v>
      </c>
      <c r="AT45" s="90">
        <f t="shared" si="20"/>
        <v>0</v>
      </c>
      <c r="AU45" s="88"/>
      <c r="AV45" s="88"/>
      <c r="AW45" s="88"/>
      <c r="AX45" s="88"/>
      <c r="AY45" s="88"/>
      <c r="AZ45" s="88"/>
      <c r="BA45" s="88"/>
      <c r="BB45" s="88"/>
      <c r="BC45" s="88"/>
      <c r="BD45" s="88"/>
      <c r="BE45" s="88"/>
      <c r="BF45" s="88"/>
      <c r="BG45" s="88">
        <f t="shared" si="21"/>
        <v>0</v>
      </c>
      <c r="BH45" s="88">
        <f t="shared" si="22"/>
        <v>0</v>
      </c>
      <c r="BI45" s="90">
        <f t="shared" si="23"/>
        <v>0</v>
      </c>
      <c r="BJ45" s="103"/>
      <c r="BK45" s="88">
        <f t="shared" si="24"/>
        <v>0</v>
      </c>
      <c r="BL45" s="104"/>
      <c r="BM45" s="101"/>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row>
    <row r="46" spans="2:150" s="94" customFormat="1" ht="15" hidden="1" outlineLevel="1" thickBot="1" x14ac:dyDescent="0.35">
      <c r="B46" s="198" t="s">
        <v>218</v>
      </c>
      <c r="C46" s="87">
        <v>8</v>
      </c>
      <c r="D46" s="87" t="str">
        <f t="shared" si="31"/>
        <v>038</v>
      </c>
      <c r="F46" s="13" t="s">
        <v>46</v>
      </c>
      <c r="G46" s="14"/>
      <c r="H46" s="88">
        <f t="shared" si="25"/>
        <v>0</v>
      </c>
      <c r="I46" s="88">
        <f t="shared" si="26"/>
        <v>0</v>
      </c>
      <c r="J46" s="88">
        <f t="shared" si="11"/>
        <v>0</v>
      </c>
      <c r="K46" s="90">
        <f t="shared" si="12"/>
        <v>0</v>
      </c>
      <c r="L46" s="88">
        <f t="shared" si="101"/>
        <v>0</v>
      </c>
      <c r="M46" s="88">
        <f t="shared" si="13"/>
        <v>0</v>
      </c>
      <c r="N46" s="90">
        <f t="shared" si="14"/>
        <v>0</v>
      </c>
      <c r="O46" s="88">
        <f t="shared" si="15"/>
        <v>0</v>
      </c>
      <c r="P46" s="88">
        <f t="shared" si="16"/>
        <v>0</v>
      </c>
      <c r="Q46" s="90">
        <f t="shared" si="17"/>
        <v>0</v>
      </c>
      <c r="R46" s="102"/>
      <c r="S46" s="88"/>
      <c r="T46" s="88"/>
      <c r="U46" s="88"/>
      <c r="V46" s="88"/>
      <c r="W46" s="88"/>
      <c r="X46" s="88"/>
      <c r="Y46" s="88"/>
      <c r="Z46" s="88"/>
      <c r="AA46" s="88"/>
      <c r="AB46" s="88"/>
      <c r="AC46" s="88"/>
      <c r="AD46" s="88"/>
      <c r="AE46" s="82">
        <f t="shared" si="32"/>
        <v>0</v>
      </c>
      <c r="AF46" s="88">
        <f>SUMIF('2022 Budget Expenses Model'!$C:$C,'Summary by Department &amp; Categor'!$D46,'2022 Budget Expenses Model'!I:I)</f>
        <v>0</v>
      </c>
      <c r="AG46" s="88">
        <f>SUMIF('2022 Budget Expenses Model'!$C:$C,'Summary by Department &amp; Categor'!$D46,'2022 Budget Expenses Model'!J:J)</f>
        <v>0</v>
      </c>
      <c r="AH46" s="88">
        <f>SUMIF('2022 Budget Expenses Model'!$C:$C,'Summary by Department &amp; Categor'!$D46,'2022 Budget Expenses Model'!K:K)</f>
        <v>0</v>
      </c>
      <c r="AI46" s="88">
        <f>SUMIF('2022 Budget Expenses Model'!$C:$C,'Summary by Department &amp; Categor'!$D46,'2022 Budget Expenses Model'!L:L)</f>
        <v>0</v>
      </c>
      <c r="AJ46" s="88">
        <f>SUMIF('2022 Budget Expenses Model'!$C:$C,'Summary by Department &amp; Categor'!$D46,'2022 Budget Expenses Model'!M:M)</f>
        <v>0</v>
      </c>
      <c r="AK46" s="88">
        <f>SUMIF('2022 Budget Expenses Model'!$C:$C,'Summary by Department &amp; Categor'!$D46,'2022 Budget Expenses Model'!N:N)</f>
        <v>0</v>
      </c>
      <c r="AL46" s="88">
        <f>SUMIF('2022 Budget Expenses Model'!$C:$C,'Summary by Department &amp; Categor'!$D46,'2022 Budget Expenses Model'!O:O)</f>
        <v>0</v>
      </c>
      <c r="AM46" s="88">
        <f>SUMIF('2022 Budget Expenses Model'!$C:$C,'Summary by Department &amp; Categor'!$D46,'2022 Budget Expenses Model'!P:P)</f>
        <v>0</v>
      </c>
      <c r="AN46" s="88">
        <f>SUMIF('2022 Budget Expenses Model'!$C:$C,'Summary by Department &amp; Categor'!$D46,'2022 Budget Expenses Model'!Q:Q)</f>
        <v>0</v>
      </c>
      <c r="AO46" s="88">
        <f>SUMIF('2022 Budget Expenses Model'!$C:$C,'Summary by Department &amp; Categor'!$D46,'2022 Budget Expenses Model'!R:R)</f>
        <v>0</v>
      </c>
      <c r="AP46" s="88">
        <f>SUMIF('2022 Budget Expenses Model'!$C:$C,'Summary by Department &amp; Categor'!$D46,'2022 Budget Expenses Model'!S:S)</f>
        <v>0</v>
      </c>
      <c r="AQ46" s="88">
        <f>SUMIF('2022 Budget Expenses Model'!$C:$C,'Summary by Department &amp; Categor'!$D46,'2022 Budget Expenses Model'!T:T)</f>
        <v>0</v>
      </c>
      <c r="AR46" s="88">
        <f t="shared" si="18"/>
        <v>0</v>
      </c>
      <c r="AS46" s="88">
        <f t="shared" si="19"/>
        <v>0</v>
      </c>
      <c r="AT46" s="90">
        <f t="shared" si="20"/>
        <v>0</v>
      </c>
      <c r="AU46" s="88"/>
      <c r="AV46" s="88"/>
      <c r="AW46" s="88"/>
      <c r="AX46" s="88"/>
      <c r="AY46" s="88"/>
      <c r="AZ46" s="88"/>
      <c r="BA46" s="88"/>
      <c r="BB46" s="88"/>
      <c r="BC46" s="88"/>
      <c r="BD46" s="88"/>
      <c r="BE46" s="88"/>
      <c r="BF46" s="88"/>
      <c r="BG46" s="88">
        <f t="shared" si="21"/>
        <v>0</v>
      </c>
      <c r="BH46" s="88">
        <f t="shared" si="22"/>
        <v>0</v>
      </c>
      <c r="BI46" s="90">
        <f t="shared" si="23"/>
        <v>0</v>
      </c>
      <c r="BJ46" s="103"/>
      <c r="BK46" s="88">
        <f t="shared" si="24"/>
        <v>0</v>
      </c>
      <c r="BL46" s="104"/>
      <c r="BM46" s="101"/>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row>
    <row r="47" spans="2:150" s="94" customFormat="1" ht="15" collapsed="1" thickBot="1" x14ac:dyDescent="0.35">
      <c r="D47" s="87"/>
      <c r="F47" s="11" t="s">
        <v>140</v>
      </c>
      <c r="G47" s="14"/>
      <c r="H47" s="82">
        <f t="shared" si="25"/>
        <v>0</v>
      </c>
      <c r="I47" s="82">
        <f t="shared" si="26"/>
        <v>11900</v>
      </c>
      <c r="J47" s="82">
        <f t="shared" si="11"/>
        <v>-11900</v>
      </c>
      <c r="K47" s="83">
        <f t="shared" si="12"/>
        <v>-1</v>
      </c>
      <c r="L47" s="82">
        <f t="shared" si="101"/>
        <v>0</v>
      </c>
      <c r="M47" s="82">
        <f t="shared" si="13"/>
        <v>0</v>
      </c>
      <c r="N47" s="83">
        <f t="shared" si="14"/>
        <v>0</v>
      </c>
      <c r="O47" s="82">
        <f t="shared" si="15"/>
        <v>0</v>
      </c>
      <c r="P47" s="82">
        <f t="shared" si="16"/>
        <v>0</v>
      </c>
      <c r="Q47" s="83">
        <f t="shared" si="17"/>
        <v>0</v>
      </c>
      <c r="R47" s="102"/>
      <c r="S47" s="82">
        <f>SUM(S48:S55)</f>
        <v>0</v>
      </c>
      <c r="T47" s="82">
        <f t="shared" ref="T47" si="102">SUM(T48:T55)</f>
        <v>0</v>
      </c>
      <c r="U47" s="82">
        <f t="shared" ref="U47" si="103">SUM(U48:U55)</f>
        <v>0</v>
      </c>
      <c r="V47" s="82">
        <f t="shared" ref="V47" si="104">SUM(V48:V55)</f>
        <v>0</v>
      </c>
      <c r="W47" s="82">
        <f t="shared" ref="W47" si="105">SUM(W48:W55)</f>
        <v>0</v>
      </c>
      <c r="X47" s="82">
        <f t="shared" ref="X47" si="106">SUM(X48:X55)</f>
        <v>0</v>
      </c>
      <c r="Y47" s="82">
        <f t="shared" ref="Y47" si="107">SUM(Y48:Y55)</f>
        <v>0</v>
      </c>
      <c r="Z47" s="82">
        <f t="shared" ref="Z47" si="108">SUM(Z48:Z55)</f>
        <v>0</v>
      </c>
      <c r="AA47" s="82">
        <f t="shared" ref="AA47" si="109">SUM(AA48:AA55)</f>
        <v>0</v>
      </c>
      <c r="AB47" s="82">
        <f t="shared" ref="AB47" si="110">SUM(AB48:AB55)</f>
        <v>0</v>
      </c>
      <c r="AC47" s="82">
        <f t="shared" ref="AC47" si="111">SUM(AC48:AC55)</f>
        <v>0</v>
      </c>
      <c r="AD47" s="82">
        <f t="shared" ref="AD47" si="112">SUM(AD48:AD55)</f>
        <v>0</v>
      </c>
      <c r="AE47" s="82">
        <v>60918.94000000001</v>
      </c>
      <c r="AF47" s="82">
        <f>SUM(AF48:AF55)</f>
        <v>11380</v>
      </c>
      <c r="AG47" s="82">
        <f t="shared" ref="AG47" si="113">SUM(AG48:AG55)</f>
        <v>11000</v>
      </c>
      <c r="AH47" s="82">
        <f t="shared" ref="AH47" si="114">SUM(AH48:AH55)</f>
        <v>11400</v>
      </c>
      <c r="AI47" s="82">
        <f t="shared" ref="AI47" si="115">SUM(AI48:AI55)</f>
        <v>11400</v>
      </c>
      <c r="AJ47" s="82">
        <f t="shared" ref="AJ47" si="116">SUM(AJ48:AJ55)</f>
        <v>11000</v>
      </c>
      <c r="AK47" s="82">
        <f t="shared" ref="AK47" si="117">SUM(AK48:AK55)</f>
        <v>16900</v>
      </c>
      <c r="AL47" s="82">
        <f t="shared" ref="AL47" si="118">SUM(AL48:AL55)</f>
        <v>11900</v>
      </c>
      <c r="AM47" s="82">
        <f t="shared" ref="AM47" si="119">SUM(AM48:AM55)</f>
        <v>11500</v>
      </c>
      <c r="AN47" s="82">
        <f t="shared" ref="AN47" si="120">SUM(AN48:AN55)</f>
        <v>16500</v>
      </c>
      <c r="AO47" s="82">
        <f t="shared" ref="AO47" si="121">SUM(AO48:AO55)</f>
        <v>11900</v>
      </c>
      <c r="AP47" s="82">
        <f t="shared" ref="AP47" si="122">SUM(AP48:AP55)</f>
        <v>16500</v>
      </c>
      <c r="AQ47" s="82">
        <f t="shared" ref="AQ47" si="123">SUM(AQ48:AQ55)</f>
        <v>21500</v>
      </c>
      <c r="AR47" s="82">
        <f t="shared" si="18"/>
        <v>162880</v>
      </c>
      <c r="AS47" s="82">
        <f t="shared" si="19"/>
        <v>-101961.06</v>
      </c>
      <c r="AT47" s="83">
        <f t="shared" si="20"/>
        <v>-0.625988826129666</v>
      </c>
      <c r="AU47" s="82">
        <f>SUM(AU48:AU55)</f>
        <v>0</v>
      </c>
      <c r="AV47" s="82">
        <f t="shared" ref="AV47" si="124">SUM(AV48:AV55)</f>
        <v>0</v>
      </c>
      <c r="AW47" s="82">
        <f t="shared" ref="AW47" si="125">SUM(AW48:AW55)</f>
        <v>0</v>
      </c>
      <c r="AX47" s="82">
        <f t="shared" ref="AX47" si="126">SUM(AX48:AX55)</f>
        <v>0</v>
      </c>
      <c r="AY47" s="82">
        <f t="shared" ref="AY47" si="127">SUM(AY48:AY55)</f>
        <v>0</v>
      </c>
      <c r="AZ47" s="82">
        <f t="shared" ref="AZ47" si="128">SUM(AZ48:AZ55)</f>
        <v>0</v>
      </c>
      <c r="BA47" s="82">
        <f t="shared" ref="BA47" si="129">SUM(BA48:BA55)</f>
        <v>0</v>
      </c>
      <c r="BB47" s="82">
        <f t="shared" ref="BB47" si="130">SUM(BB48:BB55)</f>
        <v>0</v>
      </c>
      <c r="BC47" s="82">
        <f t="shared" ref="BC47" si="131">SUM(BC48:BC55)</f>
        <v>0</v>
      </c>
      <c r="BD47" s="82">
        <f t="shared" ref="BD47" si="132">SUM(BD48:BD55)</f>
        <v>0</v>
      </c>
      <c r="BE47" s="82">
        <f t="shared" ref="BE47" si="133">SUM(BE48:BE55)</f>
        <v>0</v>
      </c>
      <c r="BF47" s="82">
        <f t="shared" ref="BF47" si="134">SUM(BF48:BF55)</f>
        <v>0</v>
      </c>
      <c r="BG47" s="82">
        <f t="shared" si="21"/>
        <v>0</v>
      </c>
      <c r="BH47" s="82">
        <f t="shared" si="22"/>
        <v>60918.94000000001</v>
      </c>
      <c r="BI47" s="83">
        <f t="shared" si="23"/>
        <v>0</v>
      </c>
      <c r="BJ47" s="103"/>
      <c r="BK47" s="82">
        <f t="shared" ref="BK47" si="135">SUM(BK48:BK55)</f>
        <v>162880</v>
      </c>
      <c r="BL47" s="104"/>
      <c r="BM47" s="101"/>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row>
    <row r="48" spans="2:150" s="94" customFormat="1" ht="15" hidden="1" outlineLevel="1" thickBot="1" x14ac:dyDescent="0.35">
      <c r="B48" s="198" t="s">
        <v>219</v>
      </c>
      <c r="C48" s="87">
        <v>2</v>
      </c>
      <c r="D48" s="87" t="str">
        <f t="shared" si="31"/>
        <v>042</v>
      </c>
      <c r="F48" s="13" t="s">
        <v>233</v>
      </c>
      <c r="G48" s="14"/>
      <c r="H48" s="88">
        <f t="shared" si="25"/>
        <v>0</v>
      </c>
      <c r="I48" s="88">
        <f t="shared" si="26"/>
        <v>0</v>
      </c>
      <c r="J48" s="88">
        <f t="shared" si="11"/>
        <v>0</v>
      </c>
      <c r="K48" s="90">
        <f t="shared" si="12"/>
        <v>0</v>
      </c>
      <c r="L48" s="88">
        <f t="shared" si="101"/>
        <v>0</v>
      </c>
      <c r="M48" s="88">
        <f t="shared" si="13"/>
        <v>0</v>
      </c>
      <c r="N48" s="90">
        <f t="shared" si="14"/>
        <v>0</v>
      </c>
      <c r="O48" s="88">
        <f t="shared" si="15"/>
        <v>0</v>
      </c>
      <c r="P48" s="88">
        <f t="shared" si="16"/>
        <v>0</v>
      </c>
      <c r="Q48" s="90">
        <f t="shared" si="17"/>
        <v>0</v>
      </c>
      <c r="R48" s="102"/>
      <c r="S48" s="88"/>
      <c r="T48" s="88"/>
      <c r="U48" s="88"/>
      <c r="V48" s="88"/>
      <c r="W48" s="88"/>
      <c r="X48" s="88"/>
      <c r="Y48" s="88"/>
      <c r="Z48" s="88"/>
      <c r="AA48" s="88"/>
      <c r="AB48" s="88"/>
      <c r="AC48" s="88"/>
      <c r="AD48" s="88"/>
      <c r="AE48" s="82">
        <v>0</v>
      </c>
      <c r="AF48" s="88">
        <f>SUMIF('2022 Budget Expenses Model'!$C:$C,'Summary by Department &amp; Categor'!$D48,'2022 Budget Expenses Model'!I:I)</f>
        <v>0</v>
      </c>
      <c r="AG48" s="88">
        <f>SUMIF('2022 Budget Expenses Model'!$C:$C,'Summary by Department &amp; Categor'!$D48,'2022 Budget Expenses Model'!J:J)</f>
        <v>0</v>
      </c>
      <c r="AH48" s="88">
        <f>SUMIF('2022 Budget Expenses Model'!$C:$C,'Summary by Department &amp; Categor'!$D48,'2022 Budget Expenses Model'!K:K)</f>
        <v>0</v>
      </c>
      <c r="AI48" s="88">
        <f>SUMIF('2022 Budget Expenses Model'!$C:$C,'Summary by Department &amp; Categor'!$D48,'2022 Budget Expenses Model'!L:L)</f>
        <v>0</v>
      </c>
      <c r="AJ48" s="88">
        <f>SUMIF('2022 Budget Expenses Model'!$C:$C,'Summary by Department &amp; Categor'!$D48,'2022 Budget Expenses Model'!M:M)</f>
        <v>0</v>
      </c>
      <c r="AK48" s="88">
        <f>SUMIF('2022 Budget Expenses Model'!$C:$C,'Summary by Department &amp; Categor'!$D48,'2022 Budget Expenses Model'!N:N)</f>
        <v>0</v>
      </c>
      <c r="AL48" s="88">
        <f>SUMIF('2022 Budget Expenses Model'!$C:$C,'Summary by Department &amp; Categor'!$D48,'2022 Budget Expenses Model'!O:O)</f>
        <v>0</v>
      </c>
      <c r="AM48" s="88">
        <f>SUMIF('2022 Budget Expenses Model'!$C:$C,'Summary by Department &amp; Categor'!$D48,'2022 Budget Expenses Model'!P:P)</f>
        <v>0</v>
      </c>
      <c r="AN48" s="88">
        <f>SUMIF('2022 Budget Expenses Model'!$C:$C,'Summary by Department &amp; Categor'!$D48,'2022 Budget Expenses Model'!Q:Q)</f>
        <v>0</v>
      </c>
      <c r="AO48" s="88">
        <f>SUMIF('2022 Budget Expenses Model'!$C:$C,'Summary by Department &amp; Categor'!$D48,'2022 Budget Expenses Model'!R:R)</f>
        <v>0</v>
      </c>
      <c r="AP48" s="88">
        <f>SUMIF('2022 Budget Expenses Model'!$C:$C,'Summary by Department &amp; Categor'!$D48,'2022 Budget Expenses Model'!S:S)</f>
        <v>0</v>
      </c>
      <c r="AQ48" s="88">
        <f>SUMIF('2022 Budget Expenses Model'!$C:$C,'Summary by Department &amp; Categor'!$D48,'2022 Budget Expenses Model'!T:T)</f>
        <v>0</v>
      </c>
      <c r="AR48" s="88">
        <f t="shared" si="18"/>
        <v>0</v>
      </c>
      <c r="AS48" s="88">
        <f t="shared" si="19"/>
        <v>0</v>
      </c>
      <c r="AT48" s="90">
        <f t="shared" si="20"/>
        <v>0</v>
      </c>
      <c r="AU48" s="88"/>
      <c r="AV48" s="88"/>
      <c r="AW48" s="88"/>
      <c r="AX48" s="88"/>
      <c r="AY48" s="88"/>
      <c r="AZ48" s="88"/>
      <c r="BA48" s="88"/>
      <c r="BB48" s="88"/>
      <c r="BC48" s="88"/>
      <c r="BD48" s="88"/>
      <c r="BE48" s="88"/>
      <c r="BF48" s="88"/>
      <c r="BG48" s="88">
        <f t="shared" si="21"/>
        <v>0</v>
      </c>
      <c r="BH48" s="88">
        <f t="shared" si="22"/>
        <v>0</v>
      </c>
      <c r="BI48" s="90">
        <f t="shared" si="23"/>
        <v>0</v>
      </c>
      <c r="BJ48" s="103"/>
      <c r="BK48" s="88">
        <f t="shared" si="24"/>
        <v>0</v>
      </c>
      <c r="BL48" s="104"/>
      <c r="BM48" s="101"/>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row>
    <row r="49" spans="2:150" s="94" customFormat="1" ht="15" hidden="1" outlineLevel="1" thickBot="1" x14ac:dyDescent="0.35">
      <c r="B49" s="198" t="s">
        <v>219</v>
      </c>
      <c r="C49" s="87">
        <v>1</v>
      </c>
      <c r="D49" s="87" t="str">
        <f t="shared" si="31"/>
        <v>041</v>
      </c>
      <c r="F49" s="13" t="s">
        <v>440</v>
      </c>
      <c r="G49" s="14"/>
      <c r="H49" s="88">
        <f t="shared" si="25"/>
        <v>0</v>
      </c>
      <c r="I49" s="88">
        <f t="shared" si="26"/>
        <v>0</v>
      </c>
      <c r="J49" s="88">
        <f t="shared" si="11"/>
        <v>0</v>
      </c>
      <c r="K49" s="90">
        <f t="shared" si="12"/>
        <v>0</v>
      </c>
      <c r="L49" s="88">
        <f t="shared" si="101"/>
        <v>0</v>
      </c>
      <c r="M49" s="88">
        <f t="shared" si="13"/>
        <v>0</v>
      </c>
      <c r="N49" s="90">
        <f t="shared" si="14"/>
        <v>0</v>
      </c>
      <c r="O49" s="88">
        <f t="shared" si="15"/>
        <v>0</v>
      </c>
      <c r="P49" s="88">
        <f t="shared" si="16"/>
        <v>0</v>
      </c>
      <c r="Q49" s="90">
        <f t="shared" si="17"/>
        <v>0</v>
      </c>
      <c r="R49" s="102"/>
      <c r="S49" s="88"/>
      <c r="T49" s="88"/>
      <c r="U49" s="88"/>
      <c r="V49" s="88"/>
      <c r="W49" s="88"/>
      <c r="X49" s="88"/>
      <c r="Y49" s="88"/>
      <c r="Z49" s="88"/>
      <c r="AA49" s="88"/>
      <c r="AB49" s="88"/>
      <c r="AC49" s="88"/>
      <c r="AD49" s="88"/>
      <c r="AE49" s="82">
        <v>0</v>
      </c>
      <c r="AF49" s="88">
        <f>SUMIF('2022 Budget Expenses Model'!$C:$C,'Summary by Department &amp; Categor'!$D49,'2022 Budget Expenses Model'!I:I)</f>
        <v>0</v>
      </c>
      <c r="AG49" s="88">
        <f>SUMIF('2022 Budget Expenses Model'!$C:$C,'Summary by Department &amp; Categor'!$D49,'2022 Budget Expenses Model'!J:J)</f>
        <v>0</v>
      </c>
      <c r="AH49" s="88">
        <f>SUMIF('2022 Budget Expenses Model'!$C:$C,'Summary by Department &amp; Categor'!$D49,'2022 Budget Expenses Model'!K:K)</f>
        <v>0</v>
      </c>
      <c r="AI49" s="88">
        <f>SUMIF('2022 Budget Expenses Model'!$C:$C,'Summary by Department &amp; Categor'!$D49,'2022 Budget Expenses Model'!L:L)</f>
        <v>0</v>
      </c>
      <c r="AJ49" s="88">
        <f>SUMIF('2022 Budget Expenses Model'!$C:$C,'Summary by Department &amp; Categor'!$D49,'2022 Budget Expenses Model'!M:M)</f>
        <v>0</v>
      </c>
      <c r="AK49" s="88">
        <f>SUMIF('2022 Budget Expenses Model'!$C:$C,'Summary by Department &amp; Categor'!$D49,'2022 Budget Expenses Model'!N:N)</f>
        <v>0</v>
      </c>
      <c r="AL49" s="88">
        <f>SUMIF('2022 Budget Expenses Model'!$C:$C,'Summary by Department &amp; Categor'!$D49,'2022 Budget Expenses Model'!O:O)</f>
        <v>0</v>
      </c>
      <c r="AM49" s="88">
        <f>SUMIF('2022 Budget Expenses Model'!$C:$C,'Summary by Department &amp; Categor'!$D49,'2022 Budget Expenses Model'!P:P)</f>
        <v>0</v>
      </c>
      <c r="AN49" s="88">
        <f>SUMIF('2022 Budget Expenses Model'!$C:$C,'Summary by Department &amp; Categor'!$D49,'2022 Budget Expenses Model'!Q:Q)</f>
        <v>0</v>
      </c>
      <c r="AO49" s="88">
        <f>SUMIF('2022 Budget Expenses Model'!$C:$C,'Summary by Department &amp; Categor'!$D49,'2022 Budget Expenses Model'!R:R)</f>
        <v>0</v>
      </c>
      <c r="AP49" s="88">
        <f>SUMIF('2022 Budget Expenses Model'!$C:$C,'Summary by Department &amp; Categor'!$D49,'2022 Budget Expenses Model'!S:S)</f>
        <v>0</v>
      </c>
      <c r="AQ49" s="88">
        <f>SUMIF('2022 Budget Expenses Model'!$C:$C,'Summary by Department &amp; Categor'!$D49,'2022 Budget Expenses Model'!T:T)</f>
        <v>0</v>
      </c>
      <c r="AR49" s="88">
        <f t="shared" si="18"/>
        <v>0</v>
      </c>
      <c r="AS49" s="88">
        <f t="shared" si="19"/>
        <v>0</v>
      </c>
      <c r="AT49" s="90">
        <f t="shared" si="20"/>
        <v>0</v>
      </c>
      <c r="AU49" s="88"/>
      <c r="AV49" s="88"/>
      <c r="AW49" s="88"/>
      <c r="AX49" s="88"/>
      <c r="AY49" s="88"/>
      <c r="AZ49" s="88"/>
      <c r="BA49" s="88"/>
      <c r="BB49" s="88"/>
      <c r="BC49" s="88"/>
      <c r="BD49" s="88"/>
      <c r="BE49" s="88"/>
      <c r="BF49" s="88"/>
      <c r="BG49" s="88">
        <f t="shared" si="21"/>
        <v>0</v>
      </c>
      <c r="BH49" s="88">
        <f t="shared" si="22"/>
        <v>0</v>
      </c>
      <c r="BI49" s="90">
        <f t="shared" si="23"/>
        <v>0</v>
      </c>
      <c r="BJ49" s="103"/>
      <c r="BK49" s="88">
        <f t="shared" si="24"/>
        <v>0</v>
      </c>
      <c r="BL49" s="104"/>
      <c r="BM49" s="101"/>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row>
    <row r="50" spans="2:150" s="94" customFormat="1" ht="15" hidden="1" outlineLevel="1" thickBot="1" x14ac:dyDescent="0.35">
      <c r="B50" s="198" t="s">
        <v>219</v>
      </c>
      <c r="C50" s="87">
        <v>3</v>
      </c>
      <c r="D50" s="87" t="str">
        <f t="shared" si="31"/>
        <v>043</v>
      </c>
      <c r="F50" s="13" t="s">
        <v>238</v>
      </c>
      <c r="G50" s="14"/>
      <c r="H50" s="88">
        <f t="shared" si="25"/>
        <v>0</v>
      </c>
      <c r="I50" s="88">
        <f t="shared" si="26"/>
        <v>11900</v>
      </c>
      <c r="J50" s="88">
        <f t="shared" si="11"/>
        <v>-11900</v>
      </c>
      <c r="K50" s="90">
        <f t="shared" si="12"/>
        <v>-1</v>
      </c>
      <c r="L50" s="88">
        <f t="shared" si="101"/>
        <v>0</v>
      </c>
      <c r="M50" s="88">
        <f t="shared" si="13"/>
        <v>0</v>
      </c>
      <c r="N50" s="90">
        <f t="shared" si="14"/>
        <v>0</v>
      </c>
      <c r="O50" s="88">
        <f t="shared" si="15"/>
        <v>0</v>
      </c>
      <c r="P50" s="88">
        <f t="shared" si="16"/>
        <v>0</v>
      </c>
      <c r="Q50" s="90">
        <f t="shared" si="17"/>
        <v>0</v>
      </c>
      <c r="R50" s="102"/>
      <c r="S50" s="88"/>
      <c r="T50" s="88"/>
      <c r="U50" s="88"/>
      <c r="V50" s="88"/>
      <c r="W50" s="88"/>
      <c r="X50" s="88"/>
      <c r="Y50" s="88"/>
      <c r="Z50" s="88"/>
      <c r="AA50" s="88"/>
      <c r="AB50" s="88"/>
      <c r="AC50" s="88"/>
      <c r="AD50" s="88"/>
      <c r="AE50" s="82">
        <v>44585.43</v>
      </c>
      <c r="AF50" s="88">
        <f>SUMIF('2022 Budget Expenses Model'!$C:$C,'Summary by Department &amp; Categor'!$D50,'2022 Budget Expenses Model'!I:I)</f>
        <v>11380</v>
      </c>
      <c r="AG50" s="88">
        <f>SUMIF('2022 Budget Expenses Model'!$C:$C,'Summary by Department &amp; Categor'!$D50,'2022 Budget Expenses Model'!J:J)</f>
        <v>11000</v>
      </c>
      <c r="AH50" s="88">
        <f>SUMIF('2022 Budget Expenses Model'!$C:$C,'Summary by Department &amp; Categor'!$D50,'2022 Budget Expenses Model'!K:K)</f>
        <v>11400</v>
      </c>
      <c r="AI50" s="88">
        <f>SUMIF('2022 Budget Expenses Model'!$C:$C,'Summary by Department &amp; Categor'!$D50,'2022 Budget Expenses Model'!L:L)</f>
        <v>11400</v>
      </c>
      <c r="AJ50" s="88">
        <f>SUMIF('2022 Budget Expenses Model'!$C:$C,'Summary by Department &amp; Categor'!$D50,'2022 Budget Expenses Model'!M:M)</f>
        <v>11000</v>
      </c>
      <c r="AK50" s="88">
        <f>SUMIF('2022 Budget Expenses Model'!$C:$C,'Summary by Department &amp; Categor'!$D50,'2022 Budget Expenses Model'!N:N)</f>
        <v>16900</v>
      </c>
      <c r="AL50" s="88">
        <f>SUMIF('2022 Budget Expenses Model'!$C:$C,'Summary by Department &amp; Categor'!$D50,'2022 Budget Expenses Model'!O:O)</f>
        <v>11900</v>
      </c>
      <c r="AM50" s="88">
        <f>SUMIF('2022 Budget Expenses Model'!$C:$C,'Summary by Department &amp; Categor'!$D50,'2022 Budget Expenses Model'!P:P)</f>
        <v>11500</v>
      </c>
      <c r="AN50" s="88">
        <f>SUMIF('2022 Budget Expenses Model'!$C:$C,'Summary by Department &amp; Categor'!$D50,'2022 Budget Expenses Model'!Q:Q)</f>
        <v>16500</v>
      </c>
      <c r="AO50" s="88">
        <f>SUMIF('2022 Budget Expenses Model'!$C:$C,'Summary by Department &amp; Categor'!$D50,'2022 Budget Expenses Model'!R:R)</f>
        <v>11900</v>
      </c>
      <c r="AP50" s="88">
        <f>SUMIF('2022 Budget Expenses Model'!$C:$C,'Summary by Department &amp; Categor'!$D50,'2022 Budget Expenses Model'!S:S)</f>
        <v>16500</v>
      </c>
      <c r="AQ50" s="88">
        <f>SUMIF('2022 Budget Expenses Model'!$C:$C,'Summary by Department &amp; Categor'!$D50,'2022 Budget Expenses Model'!T:T)</f>
        <v>21500</v>
      </c>
      <c r="AR50" s="88">
        <f t="shared" si="18"/>
        <v>162880</v>
      </c>
      <c r="AS50" s="88">
        <f t="shared" si="19"/>
        <v>-118294.57</v>
      </c>
      <c r="AT50" s="90">
        <f t="shared" si="20"/>
        <v>-0.72626823428290765</v>
      </c>
      <c r="AU50" s="88"/>
      <c r="AV50" s="88"/>
      <c r="AW50" s="88"/>
      <c r="AX50" s="88"/>
      <c r="AY50" s="88"/>
      <c r="AZ50" s="88"/>
      <c r="BA50" s="88"/>
      <c r="BB50" s="88"/>
      <c r="BC50" s="88"/>
      <c r="BD50" s="88"/>
      <c r="BE50" s="88"/>
      <c r="BF50" s="88"/>
      <c r="BG50" s="88">
        <f t="shared" si="21"/>
        <v>0</v>
      </c>
      <c r="BH50" s="88">
        <f t="shared" si="22"/>
        <v>44585.43</v>
      </c>
      <c r="BI50" s="90">
        <f t="shared" si="23"/>
        <v>0</v>
      </c>
      <c r="BJ50" s="103"/>
      <c r="BK50" s="88">
        <f t="shared" si="24"/>
        <v>162880</v>
      </c>
      <c r="BL50" s="104"/>
      <c r="BM50" s="101"/>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row>
    <row r="51" spans="2:150" s="94" customFormat="1" ht="15" hidden="1" outlineLevel="1" thickBot="1" x14ac:dyDescent="0.35">
      <c r="B51" s="198" t="s">
        <v>219</v>
      </c>
      <c r="C51" s="87">
        <v>4</v>
      </c>
      <c r="D51" s="87" t="str">
        <f t="shared" si="31"/>
        <v>044</v>
      </c>
      <c r="F51" s="13" t="s">
        <v>244</v>
      </c>
      <c r="G51" s="14"/>
      <c r="H51" s="88">
        <f t="shared" si="25"/>
        <v>0</v>
      </c>
      <c r="I51" s="88">
        <f>INDEX($AF51:$AQ51,MATCH($I$9,$AF$9:$AQ$9,0))</f>
        <v>0</v>
      </c>
      <c r="J51" s="88">
        <f t="shared" si="11"/>
        <v>0</v>
      </c>
      <c r="K51" s="90">
        <f t="shared" si="12"/>
        <v>0</v>
      </c>
      <c r="L51" s="88">
        <f t="shared" si="101"/>
        <v>0</v>
      </c>
      <c r="M51" s="88">
        <f t="shared" si="13"/>
        <v>0</v>
      </c>
      <c r="N51" s="90">
        <f t="shared" si="14"/>
        <v>0</v>
      </c>
      <c r="O51" s="88">
        <f t="shared" si="15"/>
        <v>0</v>
      </c>
      <c r="P51" s="88">
        <f t="shared" si="16"/>
        <v>0</v>
      </c>
      <c r="Q51" s="90">
        <f t="shared" si="17"/>
        <v>0</v>
      </c>
      <c r="R51" s="102"/>
      <c r="S51" s="88"/>
      <c r="T51" s="88"/>
      <c r="U51" s="88"/>
      <c r="V51" s="88"/>
      <c r="W51" s="88"/>
      <c r="X51" s="88"/>
      <c r="Y51" s="88"/>
      <c r="Z51" s="88"/>
      <c r="AA51" s="88"/>
      <c r="AB51" s="88"/>
      <c r="AC51" s="88"/>
      <c r="AD51" s="88"/>
      <c r="AE51" s="82">
        <v>0</v>
      </c>
      <c r="AF51" s="88">
        <f>SUMIF('2022 Budget Expenses Model'!$C:$C,'Summary by Department &amp; Categor'!$D51,'2022 Budget Expenses Model'!I:I)</f>
        <v>0</v>
      </c>
      <c r="AG51" s="88">
        <f>SUMIF('2022 Budget Expenses Model'!$C:$C,'Summary by Department &amp; Categor'!$D51,'2022 Budget Expenses Model'!J:J)</f>
        <v>0</v>
      </c>
      <c r="AH51" s="88">
        <f>SUMIF('2022 Budget Expenses Model'!$C:$C,'Summary by Department &amp; Categor'!$D51,'2022 Budget Expenses Model'!K:K)</f>
        <v>0</v>
      </c>
      <c r="AI51" s="88">
        <f>SUMIF('2022 Budget Expenses Model'!$C:$C,'Summary by Department &amp; Categor'!$D51,'2022 Budget Expenses Model'!L:L)</f>
        <v>0</v>
      </c>
      <c r="AJ51" s="88">
        <f>SUMIF('2022 Budget Expenses Model'!$C:$C,'Summary by Department &amp; Categor'!$D51,'2022 Budget Expenses Model'!M:M)</f>
        <v>0</v>
      </c>
      <c r="AK51" s="88">
        <f>SUMIF('2022 Budget Expenses Model'!$C:$C,'Summary by Department &amp; Categor'!$D51,'2022 Budget Expenses Model'!N:N)</f>
        <v>0</v>
      </c>
      <c r="AL51" s="88">
        <f>SUMIF('2022 Budget Expenses Model'!$C:$C,'Summary by Department &amp; Categor'!$D51,'2022 Budget Expenses Model'!O:O)</f>
        <v>0</v>
      </c>
      <c r="AM51" s="88">
        <f>SUMIF('2022 Budget Expenses Model'!$C:$C,'Summary by Department &amp; Categor'!$D51,'2022 Budget Expenses Model'!P:P)</f>
        <v>0</v>
      </c>
      <c r="AN51" s="88">
        <f>SUMIF('2022 Budget Expenses Model'!$C:$C,'Summary by Department &amp; Categor'!$D51,'2022 Budget Expenses Model'!Q:Q)</f>
        <v>0</v>
      </c>
      <c r="AO51" s="88">
        <f>SUMIF('2022 Budget Expenses Model'!$C:$C,'Summary by Department &amp; Categor'!$D51,'2022 Budget Expenses Model'!R:R)</f>
        <v>0</v>
      </c>
      <c r="AP51" s="88">
        <f>SUMIF('2022 Budget Expenses Model'!$C:$C,'Summary by Department &amp; Categor'!$D51,'2022 Budget Expenses Model'!S:S)</f>
        <v>0</v>
      </c>
      <c r="AQ51" s="88">
        <f>SUMIF('2022 Budget Expenses Model'!$C:$C,'Summary by Department &amp; Categor'!$D51,'2022 Budget Expenses Model'!T:T)</f>
        <v>0</v>
      </c>
      <c r="AR51" s="88">
        <f t="shared" si="18"/>
        <v>0</v>
      </c>
      <c r="AS51" s="88">
        <f t="shared" si="19"/>
        <v>0</v>
      </c>
      <c r="AT51" s="90">
        <f t="shared" si="20"/>
        <v>0</v>
      </c>
      <c r="AU51" s="88"/>
      <c r="AV51" s="88"/>
      <c r="AW51" s="88"/>
      <c r="AX51" s="88"/>
      <c r="AY51" s="88"/>
      <c r="AZ51" s="88"/>
      <c r="BA51" s="88"/>
      <c r="BB51" s="88"/>
      <c r="BC51" s="88"/>
      <c r="BD51" s="88"/>
      <c r="BE51" s="88"/>
      <c r="BF51" s="88"/>
      <c r="BG51" s="88">
        <f t="shared" si="21"/>
        <v>0</v>
      </c>
      <c r="BH51" s="88">
        <f t="shared" si="22"/>
        <v>0</v>
      </c>
      <c r="BI51" s="90">
        <f t="shared" si="23"/>
        <v>0</v>
      </c>
      <c r="BJ51" s="103"/>
      <c r="BK51" s="88">
        <f t="shared" si="24"/>
        <v>0</v>
      </c>
      <c r="BL51" s="104"/>
      <c r="BM51" s="101"/>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row>
    <row r="52" spans="2:150" s="94" customFormat="1" ht="15" hidden="1" outlineLevel="1" thickBot="1" x14ac:dyDescent="0.35">
      <c r="B52" s="198" t="s">
        <v>219</v>
      </c>
      <c r="C52" s="87">
        <v>5</v>
      </c>
      <c r="D52" s="87" t="str">
        <f t="shared" si="31"/>
        <v>045</v>
      </c>
      <c r="F52" s="13" t="s">
        <v>251</v>
      </c>
      <c r="G52" s="14"/>
      <c r="H52" s="88">
        <f t="shared" ref="H52:H77" si="136">INDEX($S52:$AD52,MATCH($H$9,$S$9:$AD$9,0))</f>
        <v>0</v>
      </c>
      <c r="I52" s="88">
        <f t="shared" ref="I52:I77" si="137">INDEX($AF52:$AQ52,MATCH($I$9,$AF$9:$AQ$9,0))</f>
        <v>0</v>
      </c>
      <c r="J52" s="88">
        <f t="shared" si="11"/>
        <v>0</v>
      </c>
      <c r="K52" s="90">
        <f t="shared" si="12"/>
        <v>0</v>
      </c>
      <c r="L52" s="88">
        <f t="shared" si="101"/>
        <v>0</v>
      </c>
      <c r="M52" s="88">
        <f t="shared" si="13"/>
        <v>0</v>
      </c>
      <c r="N52" s="90">
        <f t="shared" si="14"/>
        <v>0</v>
      </c>
      <c r="O52" s="88">
        <f t="shared" si="15"/>
        <v>0</v>
      </c>
      <c r="P52" s="88">
        <f t="shared" si="16"/>
        <v>0</v>
      </c>
      <c r="Q52" s="90">
        <f t="shared" si="17"/>
        <v>0</v>
      </c>
      <c r="R52" s="102"/>
      <c r="S52" s="88"/>
      <c r="T52" s="88"/>
      <c r="U52" s="88"/>
      <c r="V52" s="88"/>
      <c r="W52" s="88"/>
      <c r="X52" s="88"/>
      <c r="Y52" s="88"/>
      <c r="Z52" s="88"/>
      <c r="AA52" s="88"/>
      <c r="AB52" s="88"/>
      <c r="AC52" s="88"/>
      <c r="AD52" s="88"/>
      <c r="AE52" s="82">
        <v>0</v>
      </c>
      <c r="AF52" s="88">
        <f>SUMIF('2022 Budget Expenses Model'!$C:$C,'Summary by Department &amp; Categor'!$D52,'2022 Budget Expenses Model'!I:I)</f>
        <v>0</v>
      </c>
      <c r="AG52" s="88">
        <f>SUMIF('2022 Budget Expenses Model'!$C:$C,'Summary by Department &amp; Categor'!$D52,'2022 Budget Expenses Model'!J:J)</f>
        <v>0</v>
      </c>
      <c r="AH52" s="88">
        <f>SUMIF('2022 Budget Expenses Model'!$C:$C,'Summary by Department &amp; Categor'!$D52,'2022 Budget Expenses Model'!K:K)</f>
        <v>0</v>
      </c>
      <c r="AI52" s="88">
        <f>SUMIF('2022 Budget Expenses Model'!$C:$C,'Summary by Department &amp; Categor'!$D52,'2022 Budget Expenses Model'!L:L)</f>
        <v>0</v>
      </c>
      <c r="AJ52" s="88">
        <f>SUMIF('2022 Budget Expenses Model'!$C:$C,'Summary by Department &amp; Categor'!$D52,'2022 Budget Expenses Model'!M:M)</f>
        <v>0</v>
      </c>
      <c r="AK52" s="88">
        <f>SUMIF('2022 Budget Expenses Model'!$C:$C,'Summary by Department &amp; Categor'!$D52,'2022 Budget Expenses Model'!N:N)</f>
        <v>0</v>
      </c>
      <c r="AL52" s="88">
        <f>SUMIF('2022 Budget Expenses Model'!$C:$C,'Summary by Department &amp; Categor'!$D52,'2022 Budget Expenses Model'!O:O)</f>
        <v>0</v>
      </c>
      <c r="AM52" s="88">
        <f>SUMIF('2022 Budget Expenses Model'!$C:$C,'Summary by Department &amp; Categor'!$D52,'2022 Budget Expenses Model'!P:P)</f>
        <v>0</v>
      </c>
      <c r="AN52" s="88">
        <f>SUMIF('2022 Budget Expenses Model'!$C:$C,'Summary by Department &amp; Categor'!$D52,'2022 Budget Expenses Model'!Q:Q)</f>
        <v>0</v>
      </c>
      <c r="AO52" s="88">
        <f>SUMIF('2022 Budget Expenses Model'!$C:$C,'Summary by Department &amp; Categor'!$D52,'2022 Budget Expenses Model'!R:R)</f>
        <v>0</v>
      </c>
      <c r="AP52" s="88">
        <f>SUMIF('2022 Budget Expenses Model'!$C:$C,'Summary by Department &amp; Categor'!$D52,'2022 Budget Expenses Model'!S:S)</f>
        <v>0</v>
      </c>
      <c r="AQ52" s="88">
        <f>SUMIF('2022 Budget Expenses Model'!$C:$C,'Summary by Department &amp; Categor'!$D52,'2022 Budget Expenses Model'!T:T)</f>
        <v>0</v>
      </c>
      <c r="AR52" s="88">
        <f t="shared" si="18"/>
        <v>0</v>
      </c>
      <c r="AS52" s="88">
        <f t="shared" si="19"/>
        <v>0</v>
      </c>
      <c r="AT52" s="90">
        <f t="shared" si="20"/>
        <v>0</v>
      </c>
      <c r="AU52" s="88"/>
      <c r="AV52" s="88"/>
      <c r="AW52" s="88"/>
      <c r="AX52" s="88"/>
      <c r="AY52" s="88"/>
      <c r="AZ52" s="88"/>
      <c r="BA52" s="88"/>
      <c r="BB52" s="88"/>
      <c r="BC52" s="88"/>
      <c r="BD52" s="88"/>
      <c r="BE52" s="88"/>
      <c r="BF52" s="88"/>
      <c r="BG52" s="88">
        <f t="shared" si="21"/>
        <v>0</v>
      </c>
      <c r="BH52" s="88">
        <f t="shared" si="22"/>
        <v>0</v>
      </c>
      <c r="BI52" s="90">
        <f t="shared" si="23"/>
        <v>0</v>
      </c>
      <c r="BJ52" s="103"/>
      <c r="BK52" s="88">
        <f t="shared" si="24"/>
        <v>0</v>
      </c>
      <c r="BL52" s="104"/>
      <c r="BM52" s="101"/>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row>
    <row r="53" spans="2:150" s="94" customFormat="1" ht="15" hidden="1" outlineLevel="1" thickBot="1" x14ac:dyDescent="0.35">
      <c r="B53" s="198" t="s">
        <v>219</v>
      </c>
      <c r="C53" s="87">
        <v>6</v>
      </c>
      <c r="D53" s="87" t="str">
        <f t="shared" si="31"/>
        <v>046</v>
      </c>
      <c r="F53" s="13" t="s">
        <v>31</v>
      </c>
      <c r="G53" s="14"/>
      <c r="H53" s="88">
        <f t="shared" si="136"/>
        <v>0</v>
      </c>
      <c r="I53" s="88">
        <f t="shared" si="137"/>
        <v>0</v>
      </c>
      <c r="J53" s="88">
        <f t="shared" si="11"/>
        <v>0</v>
      </c>
      <c r="K53" s="90">
        <f t="shared" si="12"/>
        <v>0</v>
      </c>
      <c r="L53" s="88">
        <f t="shared" si="101"/>
        <v>0</v>
      </c>
      <c r="M53" s="88">
        <f t="shared" si="13"/>
        <v>0</v>
      </c>
      <c r="N53" s="90">
        <f t="shared" si="14"/>
        <v>0</v>
      </c>
      <c r="O53" s="88">
        <f t="shared" si="15"/>
        <v>0</v>
      </c>
      <c r="P53" s="88">
        <f t="shared" si="16"/>
        <v>0</v>
      </c>
      <c r="Q53" s="90">
        <f t="shared" si="17"/>
        <v>0</v>
      </c>
      <c r="R53" s="102"/>
      <c r="S53" s="88"/>
      <c r="T53" s="88"/>
      <c r="U53" s="88"/>
      <c r="V53" s="88"/>
      <c r="W53" s="88"/>
      <c r="X53" s="88"/>
      <c r="Y53" s="88"/>
      <c r="Z53" s="88"/>
      <c r="AA53" s="88"/>
      <c r="AB53" s="88"/>
      <c r="AC53" s="88"/>
      <c r="AD53" s="88"/>
      <c r="AE53" s="82">
        <v>12830.52</v>
      </c>
      <c r="AF53" s="88">
        <f>SUMIF('2022 Budget Expenses Model'!$C:$C,'Summary by Department &amp; Categor'!$D53,'2022 Budget Expenses Model'!I:I)</f>
        <v>0</v>
      </c>
      <c r="AG53" s="88">
        <f>SUMIF('2022 Budget Expenses Model'!$C:$C,'Summary by Department &amp; Categor'!$D53,'2022 Budget Expenses Model'!J:J)</f>
        <v>0</v>
      </c>
      <c r="AH53" s="88">
        <f>SUMIF('2022 Budget Expenses Model'!$C:$C,'Summary by Department &amp; Categor'!$D53,'2022 Budget Expenses Model'!K:K)</f>
        <v>0</v>
      </c>
      <c r="AI53" s="88">
        <f>SUMIF('2022 Budget Expenses Model'!$C:$C,'Summary by Department &amp; Categor'!$D53,'2022 Budget Expenses Model'!L:L)</f>
        <v>0</v>
      </c>
      <c r="AJ53" s="88">
        <f>SUMIF('2022 Budget Expenses Model'!$C:$C,'Summary by Department &amp; Categor'!$D53,'2022 Budget Expenses Model'!M:M)</f>
        <v>0</v>
      </c>
      <c r="AK53" s="88">
        <f>SUMIF('2022 Budget Expenses Model'!$C:$C,'Summary by Department &amp; Categor'!$D53,'2022 Budget Expenses Model'!N:N)</f>
        <v>0</v>
      </c>
      <c r="AL53" s="88">
        <f>SUMIF('2022 Budget Expenses Model'!$C:$C,'Summary by Department &amp; Categor'!$D53,'2022 Budget Expenses Model'!O:O)</f>
        <v>0</v>
      </c>
      <c r="AM53" s="88">
        <f>SUMIF('2022 Budget Expenses Model'!$C:$C,'Summary by Department &amp; Categor'!$D53,'2022 Budget Expenses Model'!P:P)</f>
        <v>0</v>
      </c>
      <c r="AN53" s="88">
        <f>SUMIF('2022 Budget Expenses Model'!$C:$C,'Summary by Department &amp; Categor'!$D53,'2022 Budget Expenses Model'!Q:Q)</f>
        <v>0</v>
      </c>
      <c r="AO53" s="88">
        <f>SUMIF('2022 Budget Expenses Model'!$C:$C,'Summary by Department &amp; Categor'!$D53,'2022 Budget Expenses Model'!R:R)</f>
        <v>0</v>
      </c>
      <c r="AP53" s="88">
        <f>SUMIF('2022 Budget Expenses Model'!$C:$C,'Summary by Department &amp; Categor'!$D53,'2022 Budget Expenses Model'!S:S)</f>
        <v>0</v>
      </c>
      <c r="AQ53" s="88">
        <f>SUMIF('2022 Budget Expenses Model'!$C:$C,'Summary by Department &amp; Categor'!$D53,'2022 Budget Expenses Model'!T:T)</f>
        <v>0</v>
      </c>
      <c r="AR53" s="88">
        <f t="shared" si="18"/>
        <v>0</v>
      </c>
      <c r="AS53" s="88">
        <f t="shared" si="19"/>
        <v>12830.52</v>
      </c>
      <c r="AT53" s="90">
        <f t="shared" si="20"/>
        <v>0</v>
      </c>
      <c r="AU53" s="88"/>
      <c r="AV53" s="88"/>
      <c r="AW53" s="88"/>
      <c r="AX53" s="88"/>
      <c r="AY53" s="88"/>
      <c r="AZ53" s="88"/>
      <c r="BA53" s="88"/>
      <c r="BB53" s="88"/>
      <c r="BC53" s="88"/>
      <c r="BD53" s="88"/>
      <c r="BE53" s="88"/>
      <c r="BF53" s="88"/>
      <c r="BG53" s="88">
        <f t="shared" si="21"/>
        <v>0</v>
      </c>
      <c r="BH53" s="88">
        <f t="shared" si="22"/>
        <v>12830.52</v>
      </c>
      <c r="BI53" s="90">
        <f t="shared" si="23"/>
        <v>0</v>
      </c>
      <c r="BJ53" s="103"/>
      <c r="BK53" s="88">
        <f t="shared" si="24"/>
        <v>0</v>
      </c>
      <c r="BL53" s="104"/>
      <c r="BM53" s="101"/>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row>
    <row r="54" spans="2:150" s="94" customFormat="1" ht="15" hidden="1" outlineLevel="1" thickBot="1" x14ac:dyDescent="0.35">
      <c r="B54" s="198" t="s">
        <v>219</v>
      </c>
      <c r="C54" s="87">
        <v>7</v>
      </c>
      <c r="D54" s="87" t="str">
        <f t="shared" si="31"/>
        <v>047</v>
      </c>
      <c r="F54" s="13" t="s">
        <v>256</v>
      </c>
      <c r="G54" s="14"/>
      <c r="H54" s="88">
        <f t="shared" si="136"/>
        <v>0</v>
      </c>
      <c r="I54" s="88">
        <f t="shared" si="137"/>
        <v>0</v>
      </c>
      <c r="J54" s="88">
        <f t="shared" si="11"/>
        <v>0</v>
      </c>
      <c r="K54" s="90">
        <f t="shared" si="12"/>
        <v>0</v>
      </c>
      <c r="L54" s="88">
        <f t="shared" si="101"/>
        <v>0</v>
      </c>
      <c r="M54" s="88">
        <f t="shared" si="13"/>
        <v>0</v>
      </c>
      <c r="N54" s="90">
        <f t="shared" si="14"/>
        <v>0</v>
      </c>
      <c r="O54" s="88">
        <f t="shared" si="15"/>
        <v>0</v>
      </c>
      <c r="P54" s="88">
        <f t="shared" si="16"/>
        <v>0</v>
      </c>
      <c r="Q54" s="90">
        <f t="shared" si="17"/>
        <v>0</v>
      </c>
      <c r="R54" s="102"/>
      <c r="S54" s="88"/>
      <c r="T54" s="88"/>
      <c r="U54" s="88"/>
      <c r="V54" s="88"/>
      <c r="W54" s="88"/>
      <c r="X54" s="88"/>
      <c r="Y54" s="88"/>
      <c r="Z54" s="88"/>
      <c r="AA54" s="88"/>
      <c r="AB54" s="88"/>
      <c r="AC54" s="88"/>
      <c r="AD54" s="88"/>
      <c r="AE54" s="82">
        <v>3502.99</v>
      </c>
      <c r="AF54" s="88">
        <f>SUMIF('2022 Budget Expenses Model'!$C:$C,'Summary by Department &amp; Categor'!$D54,'2022 Budget Expenses Model'!I:I)</f>
        <v>0</v>
      </c>
      <c r="AG54" s="88">
        <f>SUMIF('2022 Budget Expenses Model'!$C:$C,'Summary by Department &amp; Categor'!$D54,'2022 Budget Expenses Model'!J:J)</f>
        <v>0</v>
      </c>
      <c r="AH54" s="88">
        <f>SUMIF('2022 Budget Expenses Model'!$C:$C,'Summary by Department &amp; Categor'!$D54,'2022 Budget Expenses Model'!K:K)</f>
        <v>0</v>
      </c>
      <c r="AI54" s="88">
        <f>SUMIF('2022 Budget Expenses Model'!$C:$C,'Summary by Department &amp; Categor'!$D54,'2022 Budget Expenses Model'!L:L)</f>
        <v>0</v>
      </c>
      <c r="AJ54" s="88">
        <f>SUMIF('2022 Budget Expenses Model'!$C:$C,'Summary by Department &amp; Categor'!$D54,'2022 Budget Expenses Model'!M:M)</f>
        <v>0</v>
      </c>
      <c r="AK54" s="88">
        <f>SUMIF('2022 Budget Expenses Model'!$C:$C,'Summary by Department &amp; Categor'!$D54,'2022 Budget Expenses Model'!N:N)</f>
        <v>0</v>
      </c>
      <c r="AL54" s="88">
        <f>SUMIF('2022 Budget Expenses Model'!$C:$C,'Summary by Department &amp; Categor'!$D54,'2022 Budget Expenses Model'!O:O)</f>
        <v>0</v>
      </c>
      <c r="AM54" s="88">
        <f>SUMIF('2022 Budget Expenses Model'!$C:$C,'Summary by Department &amp; Categor'!$D54,'2022 Budget Expenses Model'!P:P)</f>
        <v>0</v>
      </c>
      <c r="AN54" s="88">
        <f>SUMIF('2022 Budget Expenses Model'!$C:$C,'Summary by Department &amp; Categor'!$D54,'2022 Budget Expenses Model'!Q:Q)</f>
        <v>0</v>
      </c>
      <c r="AO54" s="88">
        <f>SUMIF('2022 Budget Expenses Model'!$C:$C,'Summary by Department &amp; Categor'!$D54,'2022 Budget Expenses Model'!R:R)</f>
        <v>0</v>
      </c>
      <c r="AP54" s="88">
        <f>SUMIF('2022 Budget Expenses Model'!$C:$C,'Summary by Department &amp; Categor'!$D54,'2022 Budget Expenses Model'!S:S)</f>
        <v>0</v>
      </c>
      <c r="AQ54" s="88">
        <f>SUMIF('2022 Budget Expenses Model'!$C:$C,'Summary by Department &amp; Categor'!$D54,'2022 Budget Expenses Model'!T:T)</f>
        <v>0</v>
      </c>
      <c r="AR54" s="88">
        <f t="shared" si="18"/>
        <v>0</v>
      </c>
      <c r="AS54" s="88">
        <f t="shared" si="19"/>
        <v>3502.99</v>
      </c>
      <c r="AT54" s="90">
        <f t="shared" si="20"/>
        <v>0</v>
      </c>
      <c r="AU54" s="88"/>
      <c r="AV54" s="88"/>
      <c r="AW54" s="88"/>
      <c r="AX54" s="88"/>
      <c r="AY54" s="88"/>
      <c r="AZ54" s="88"/>
      <c r="BA54" s="88"/>
      <c r="BB54" s="88"/>
      <c r="BC54" s="88"/>
      <c r="BD54" s="88"/>
      <c r="BE54" s="88"/>
      <c r="BF54" s="88"/>
      <c r="BG54" s="88">
        <f t="shared" si="21"/>
        <v>0</v>
      </c>
      <c r="BH54" s="88">
        <f t="shared" si="22"/>
        <v>3502.99</v>
      </c>
      <c r="BI54" s="90">
        <f t="shared" si="23"/>
        <v>0</v>
      </c>
      <c r="BJ54" s="103"/>
      <c r="BK54" s="88">
        <f t="shared" si="24"/>
        <v>0</v>
      </c>
      <c r="BL54" s="104"/>
      <c r="BM54" s="101"/>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row>
    <row r="55" spans="2:150" s="87" customFormat="1" ht="15" hidden="1" outlineLevel="1" thickBot="1" x14ac:dyDescent="0.35">
      <c r="B55" s="198" t="s">
        <v>219</v>
      </c>
      <c r="C55" s="87">
        <v>8</v>
      </c>
      <c r="D55" s="87" t="str">
        <f t="shared" si="31"/>
        <v>048</v>
      </c>
      <c r="F55" s="13" t="s">
        <v>46</v>
      </c>
      <c r="G55" s="12"/>
      <c r="H55" s="88">
        <f t="shared" si="136"/>
        <v>0</v>
      </c>
      <c r="I55" s="88">
        <f t="shared" si="137"/>
        <v>0</v>
      </c>
      <c r="J55" s="88">
        <f t="shared" si="11"/>
        <v>0</v>
      </c>
      <c r="K55" s="90">
        <f t="shared" si="12"/>
        <v>0</v>
      </c>
      <c r="L55" s="88">
        <f t="shared" si="101"/>
        <v>0</v>
      </c>
      <c r="M55" s="88">
        <f t="shared" si="13"/>
        <v>0</v>
      </c>
      <c r="N55" s="90">
        <f t="shared" si="14"/>
        <v>0</v>
      </c>
      <c r="O55" s="88">
        <f t="shared" si="15"/>
        <v>0</v>
      </c>
      <c r="P55" s="88">
        <f t="shared" si="16"/>
        <v>0</v>
      </c>
      <c r="Q55" s="90">
        <f t="shared" si="17"/>
        <v>0</v>
      </c>
      <c r="R55" s="98"/>
      <c r="S55" s="82"/>
      <c r="T55" s="82"/>
      <c r="U55" s="82"/>
      <c r="V55" s="82"/>
      <c r="W55" s="82"/>
      <c r="X55" s="82"/>
      <c r="Y55" s="82"/>
      <c r="Z55" s="82"/>
      <c r="AA55" s="82"/>
      <c r="AB55" s="82"/>
      <c r="AC55" s="82"/>
      <c r="AD55" s="82"/>
      <c r="AE55" s="82">
        <f t="shared" si="32"/>
        <v>0</v>
      </c>
      <c r="AF55" s="88">
        <f>SUMIF('2022 Budget Expenses Model'!$C:$C,'Summary by Department &amp; Categor'!$D55,'2022 Budget Expenses Model'!I:I)</f>
        <v>0</v>
      </c>
      <c r="AG55" s="88">
        <f>SUMIF('2022 Budget Expenses Model'!$C:$C,'Summary by Department &amp; Categor'!$D55,'2022 Budget Expenses Model'!J:J)</f>
        <v>0</v>
      </c>
      <c r="AH55" s="88">
        <f>SUMIF('2022 Budget Expenses Model'!$C:$C,'Summary by Department &amp; Categor'!$D55,'2022 Budget Expenses Model'!K:K)</f>
        <v>0</v>
      </c>
      <c r="AI55" s="88">
        <f>SUMIF('2022 Budget Expenses Model'!$C:$C,'Summary by Department &amp; Categor'!$D55,'2022 Budget Expenses Model'!L:L)</f>
        <v>0</v>
      </c>
      <c r="AJ55" s="88">
        <f>SUMIF('2022 Budget Expenses Model'!$C:$C,'Summary by Department &amp; Categor'!$D55,'2022 Budget Expenses Model'!M:M)</f>
        <v>0</v>
      </c>
      <c r="AK55" s="88">
        <f>SUMIF('2022 Budget Expenses Model'!$C:$C,'Summary by Department &amp; Categor'!$D55,'2022 Budget Expenses Model'!N:N)</f>
        <v>0</v>
      </c>
      <c r="AL55" s="88">
        <f>SUMIF('2022 Budget Expenses Model'!$C:$C,'Summary by Department &amp; Categor'!$D55,'2022 Budget Expenses Model'!O:O)</f>
        <v>0</v>
      </c>
      <c r="AM55" s="88">
        <f>SUMIF('2022 Budget Expenses Model'!$C:$C,'Summary by Department &amp; Categor'!$D55,'2022 Budget Expenses Model'!P:P)</f>
        <v>0</v>
      </c>
      <c r="AN55" s="88">
        <f>SUMIF('2022 Budget Expenses Model'!$C:$C,'Summary by Department &amp; Categor'!$D55,'2022 Budget Expenses Model'!Q:Q)</f>
        <v>0</v>
      </c>
      <c r="AO55" s="88">
        <f>SUMIF('2022 Budget Expenses Model'!$C:$C,'Summary by Department &amp; Categor'!$D55,'2022 Budget Expenses Model'!R:R)</f>
        <v>0</v>
      </c>
      <c r="AP55" s="88">
        <f>SUMIF('2022 Budget Expenses Model'!$C:$C,'Summary by Department &amp; Categor'!$D55,'2022 Budget Expenses Model'!S:S)</f>
        <v>0</v>
      </c>
      <c r="AQ55" s="88">
        <f>SUMIF('2022 Budget Expenses Model'!$C:$C,'Summary by Department &amp; Categor'!$D55,'2022 Budget Expenses Model'!T:T)</f>
        <v>0</v>
      </c>
      <c r="AR55" s="88">
        <f t="shared" si="18"/>
        <v>0</v>
      </c>
      <c r="AS55" s="88">
        <f t="shared" si="19"/>
        <v>0</v>
      </c>
      <c r="AT55" s="90">
        <f t="shared" si="20"/>
        <v>0</v>
      </c>
      <c r="AU55" s="82"/>
      <c r="AV55" s="82"/>
      <c r="AW55" s="82"/>
      <c r="AX55" s="82"/>
      <c r="AY55" s="82"/>
      <c r="AZ55" s="82"/>
      <c r="BA55" s="82"/>
      <c r="BB55" s="82"/>
      <c r="BC55" s="82"/>
      <c r="BD55" s="82"/>
      <c r="BE55" s="82"/>
      <c r="BF55" s="82"/>
      <c r="BG55" s="88">
        <f t="shared" si="21"/>
        <v>0</v>
      </c>
      <c r="BH55" s="88">
        <f t="shared" si="22"/>
        <v>0</v>
      </c>
      <c r="BI55" s="90">
        <f t="shared" si="23"/>
        <v>0</v>
      </c>
      <c r="BJ55" s="99"/>
      <c r="BK55" s="88">
        <f t="shared" si="24"/>
        <v>0</v>
      </c>
      <c r="BL55" s="100"/>
      <c r="BM55" s="101"/>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row>
    <row r="56" spans="2:150" s="94" customFormat="1" ht="15" collapsed="1" thickBot="1" x14ac:dyDescent="0.35">
      <c r="D56" s="87"/>
      <c r="F56" s="11" t="s">
        <v>52</v>
      </c>
      <c r="G56" s="14"/>
      <c r="H56" s="82">
        <f t="shared" si="136"/>
        <v>0</v>
      </c>
      <c r="I56" s="82">
        <f t="shared" si="137"/>
        <v>0</v>
      </c>
      <c r="J56" s="82">
        <f t="shared" si="11"/>
        <v>0</v>
      </c>
      <c r="K56" s="83">
        <f t="shared" si="12"/>
        <v>0</v>
      </c>
      <c r="L56" s="82">
        <f t="shared" si="101"/>
        <v>0</v>
      </c>
      <c r="M56" s="82">
        <f t="shared" si="13"/>
        <v>0</v>
      </c>
      <c r="N56" s="83">
        <f t="shared" si="14"/>
        <v>0</v>
      </c>
      <c r="O56" s="82">
        <f t="shared" si="15"/>
        <v>0</v>
      </c>
      <c r="P56" s="82">
        <f t="shared" si="16"/>
        <v>0</v>
      </c>
      <c r="Q56" s="83">
        <f t="shared" si="17"/>
        <v>0</v>
      </c>
      <c r="R56" s="102"/>
      <c r="S56" s="82">
        <f>SUM(S57:S64)</f>
        <v>0</v>
      </c>
      <c r="T56" s="82">
        <f t="shared" ref="T56" si="138">SUM(T57:T64)</f>
        <v>0</v>
      </c>
      <c r="U56" s="82">
        <f t="shared" ref="U56" si="139">SUM(U57:U64)</f>
        <v>0</v>
      </c>
      <c r="V56" s="82">
        <f t="shared" ref="V56" si="140">SUM(V57:V64)</f>
        <v>0</v>
      </c>
      <c r="W56" s="82">
        <f t="shared" ref="W56" si="141">SUM(W57:W64)</f>
        <v>0</v>
      </c>
      <c r="X56" s="82">
        <f t="shared" ref="X56" si="142">SUM(X57:X64)</f>
        <v>0</v>
      </c>
      <c r="Y56" s="82">
        <f t="shared" ref="Y56" si="143">SUM(Y57:Y64)</f>
        <v>0</v>
      </c>
      <c r="Z56" s="82">
        <f t="shared" ref="Z56" si="144">SUM(Z57:Z64)</f>
        <v>0</v>
      </c>
      <c r="AA56" s="82">
        <f t="shared" ref="AA56" si="145">SUM(AA57:AA64)</f>
        <v>0</v>
      </c>
      <c r="AB56" s="82">
        <f t="shared" ref="AB56" si="146">SUM(AB57:AB64)</f>
        <v>0</v>
      </c>
      <c r="AC56" s="82">
        <f t="shared" ref="AC56" si="147">SUM(AC57:AC64)</f>
        <v>0</v>
      </c>
      <c r="AD56" s="82">
        <f t="shared" ref="AD56" si="148">SUM(AD57:AD64)</f>
        <v>0</v>
      </c>
      <c r="AE56" s="82">
        <v>70350</v>
      </c>
      <c r="AF56" s="82">
        <f>SUM(AF57:AF64)</f>
        <v>0</v>
      </c>
      <c r="AG56" s="82">
        <f t="shared" ref="AG56" si="149">SUM(AG57:AG64)</f>
        <v>0</v>
      </c>
      <c r="AH56" s="82">
        <f t="shared" ref="AH56" si="150">SUM(AH57:AH64)</f>
        <v>0</v>
      </c>
      <c r="AI56" s="82">
        <f t="shared" ref="AI56" si="151">SUM(AI57:AI64)</f>
        <v>0</v>
      </c>
      <c r="AJ56" s="82">
        <f t="shared" ref="AJ56" si="152">SUM(AJ57:AJ64)</f>
        <v>0</v>
      </c>
      <c r="AK56" s="82">
        <f t="shared" ref="AK56" si="153">SUM(AK57:AK64)</f>
        <v>50000</v>
      </c>
      <c r="AL56" s="82">
        <f t="shared" ref="AL56" si="154">SUM(AL57:AL64)</f>
        <v>0</v>
      </c>
      <c r="AM56" s="82">
        <f t="shared" ref="AM56" si="155">SUM(AM57:AM64)</f>
        <v>0</v>
      </c>
      <c r="AN56" s="82">
        <f t="shared" ref="AN56" si="156">SUM(AN57:AN64)</f>
        <v>50000</v>
      </c>
      <c r="AO56" s="82">
        <f t="shared" ref="AO56" si="157">SUM(AO57:AO64)</f>
        <v>0</v>
      </c>
      <c r="AP56" s="82">
        <f t="shared" ref="AP56" si="158">SUM(AP57:AP64)</f>
        <v>50000</v>
      </c>
      <c r="AQ56" s="82">
        <f t="shared" ref="AQ56" si="159">SUM(AQ57:AQ64)</f>
        <v>100000</v>
      </c>
      <c r="AR56" s="82">
        <f t="shared" si="18"/>
        <v>250000</v>
      </c>
      <c r="AS56" s="82">
        <f t="shared" si="19"/>
        <v>-179650</v>
      </c>
      <c r="AT56" s="83">
        <f t="shared" si="20"/>
        <v>-0.71860000000000002</v>
      </c>
      <c r="AU56" s="82">
        <f>SUM(AU57:AU64)</f>
        <v>0</v>
      </c>
      <c r="AV56" s="82">
        <f t="shared" ref="AV56" si="160">SUM(AV57:AV64)</f>
        <v>0</v>
      </c>
      <c r="AW56" s="82">
        <f t="shared" ref="AW56" si="161">SUM(AW57:AW64)</f>
        <v>0</v>
      </c>
      <c r="AX56" s="82">
        <f t="shared" ref="AX56" si="162">SUM(AX57:AX64)</f>
        <v>0</v>
      </c>
      <c r="AY56" s="82">
        <f t="shared" ref="AY56" si="163">SUM(AY57:AY64)</f>
        <v>0</v>
      </c>
      <c r="AZ56" s="82">
        <f t="shared" ref="AZ56" si="164">SUM(AZ57:AZ64)</f>
        <v>0</v>
      </c>
      <c r="BA56" s="82">
        <f t="shared" ref="BA56" si="165">SUM(BA57:BA64)</f>
        <v>0</v>
      </c>
      <c r="BB56" s="82">
        <f t="shared" ref="BB56" si="166">SUM(BB57:BB64)</f>
        <v>0</v>
      </c>
      <c r="BC56" s="82">
        <f t="shared" ref="BC56" si="167">SUM(BC57:BC64)</f>
        <v>0</v>
      </c>
      <c r="BD56" s="82">
        <f t="shared" ref="BD56" si="168">SUM(BD57:BD64)</f>
        <v>0</v>
      </c>
      <c r="BE56" s="82">
        <f t="shared" ref="BE56" si="169">SUM(BE57:BE64)</f>
        <v>0</v>
      </c>
      <c r="BF56" s="82">
        <f t="shared" ref="BF56" si="170">SUM(BF57:BF64)</f>
        <v>0</v>
      </c>
      <c r="BG56" s="82">
        <f t="shared" si="21"/>
        <v>0</v>
      </c>
      <c r="BH56" s="82">
        <f t="shared" si="22"/>
        <v>70350</v>
      </c>
      <c r="BI56" s="83">
        <f t="shared" si="23"/>
        <v>0</v>
      </c>
      <c r="BJ56" s="103"/>
      <c r="BK56" s="82">
        <f t="shared" ref="BK56" si="171">SUM(BK57:BK64)</f>
        <v>250000</v>
      </c>
      <c r="BL56" s="104"/>
      <c r="BM56" s="101"/>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row>
    <row r="57" spans="2:150" s="94" customFormat="1" ht="15" hidden="1" outlineLevel="1" thickBot="1" x14ac:dyDescent="0.35">
      <c r="B57" s="198" t="s">
        <v>220</v>
      </c>
      <c r="C57" s="87">
        <v>2</v>
      </c>
      <c r="D57" s="87" t="str">
        <f t="shared" si="31"/>
        <v>052</v>
      </c>
      <c r="F57" s="13" t="s">
        <v>233</v>
      </c>
      <c r="G57" s="14"/>
      <c r="H57" s="88">
        <f t="shared" si="136"/>
        <v>0</v>
      </c>
      <c r="I57" s="88">
        <f t="shared" si="137"/>
        <v>0</v>
      </c>
      <c r="J57" s="88">
        <f t="shared" si="11"/>
        <v>0</v>
      </c>
      <c r="K57" s="90">
        <f t="shared" si="12"/>
        <v>0</v>
      </c>
      <c r="L57" s="88">
        <f t="shared" si="101"/>
        <v>0</v>
      </c>
      <c r="M57" s="88">
        <f t="shared" si="13"/>
        <v>0</v>
      </c>
      <c r="N57" s="90">
        <f t="shared" si="14"/>
        <v>0</v>
      </c>
      <c r="O57" s="88">
        <f t="shared" si="15"/>
        <v>0</v>
      </c>
      <c r="P57" s="88">
        <f t="shared" si="16"/>
        <v>0</v>
      </c>
      <c r="Q57" s="90">
        <f t="shared" si="17"/>
        <v>0</v>
      </c>
      <c r="R57" s="102"/>
      <c r="S57" s="88"/>
      <c r="T57" s="88"/>
      <c r="U57" s="88"/>
      <c r="V57" s="88"/>
      <c r="W57" s="88"/>
      <c r="X57" s="88"/>
      <c r="Y57" s="88"/>
      <c r="Z57" s="88"/>
      <c r="AA57" s="88"/>
      <c r="AB57" s="88"/>
      <c r="AC57" s="88"/>
      <c r="AD57" s="88"/>
      <c r="AE57" s="82">
        <v>0</v>
      </c>
      <c r="AF57" s="88">
        <f>SUMIF('2022 Budget Expenses Model'!$C:$C,'Summary by Department &amp; Categor'!$D57,'2022 Budget Expenses Model'!I:I)</f>
        <v>0</v>
      </c>
      <c r="AG57" s="88">
        <f>SUMIF('2022 Budget Expenses Model'!$C:$C,'Summary by Department &amp; Categor'!$D57,'2022 Budget Expenses Model'!J:J)</f>
        <v>0</v>
      </c>
      <c r="AH57" s="88">
        <f>SUMIF('2022 Budget Expenses Model'!$C:$C,'Summary by Department &amp; Categor'!$D57,'2022 Budget Expenses Model'!K:K)</f>
        <v>0</v>
      </c>
      <c r="AI57" s="88">
        <f>SUMIF('2022 Budget Expenses Model'!$C:$C,'Summary by Department &amp; Categor'!$D57,'2022 Budget Expenses Model'!L:L)</f>
        <v>0</v>
      </c>
      <c r="AJ57" s="88">
        <f>SUMIF('2022 Budget Expenses Model'!$C:$C,'Summary by Department &amp; Categor'!$D57,'2022 Budget Expenses Model'!M:M)</f>
        <v>0</v>
      </c>
      <c r="AK57" s="88">
        <f>SUMIF('2022 Budget Expenses Model'!$C:$C,'Summary by Department &amp; Categor'!$D57,'2022 Budget Expenses Model'!N:N)</f>
        <v>0</v>
      </c>
      <c r="AL57" s="88">
        <f>SUMIF('2022 Budget Expenses Model'!$C:$C,'Summary by Department &amp; Categor'!$D57,'2022 Budget Expenses Model'!O:O)</f>
        <v>0</v>
      </c>
      <c r="AM57" s="88">
        <f>SUMIF('2022 Budget Expenses Model'!$C:$C,'Summary by Department &amp; Categor'!$D57,'2022 Budget Expenses Model'!P:P)</f>
        <v>0</v>
      </c>
      <c r="AN57" s="88">
        <f>SUMIF('2022 Budget Expenses Model'!$C:$C,'Summary by Department &amp; Categor'!$D57,'2022 Budget Expenses Model'!Q:Q)</f>
        <v>0</v>
      </c>
      <c r="AO57" s="88">
        <f>SUMIF('2022 Budget Expenses Model'!$C:$C,'Summary by Department &amp; Categor'!$D57,'2022 Budget Expenses Model'!R:R)</f>
        <v>0</v>
      </c>
      <c r="AP57" s="88">
        <f>SUMIF('2022 Budget Expenses Model'!$C:$C,'Summary by Department &amp; Categor'!$D57,'2022 Budget Expenses Model'!S:S)</f>
        <v>0</v>
      </c>
      <c r="AQ57" s="88">
        <f>SUMIF('2022 Budget Expenses Model'!$C:$C,'Summary by Department &amp; Categor'!$D57,'2022 Budget Expenses Model'!T:T)</f>
        <v>0</v>
      </c>
      <c r="AR57" s="88">
        <f t="shared" si="18"/>
        <v>0</v>
      </c>
      <c r="AS57" s="88">
        <f t="shared" si="19"/>
        <v>0</v>
      </c>
      <c r="AT57" s="90">
        <f t="shared" si="20"/>
        <v>0</v>
      </c>
      <c r="AU57" s="88"/>
      <c r="AV57" s="88"/>
      <c r="AW57" s="88"/>
      <c r="AX57" s="88"/>
      <c r="AY57" s="88"/>
      <c r="AZ57" s="88"/>
      <c r="BA57" s="88"/>
      <c r="BB57" s="88"/>
      <c r="BC57" s="88"/>
      <c r="BD57" s="88"/>
      <c r="BE57" s="88"/>
      <c r="BF57" s="88"/>
      <c r="BG57" s="88">
        <f t="shared" si="21"/>
        <v>0</v>
      </c>
      <c r="BH57" s="88">
        <f t="shared" si="22"/>
        <v>0</v>
      </c>
      <c r="BI57" s="90">
        <f t="shared" si="23"/>
        <v>0</v>
      </c>
      <c r="BJ57" s="103"/>
      <c r="BK57" s="88">
        <f t="shared" si="24"/>
        <v>0</v>
      </c>
      <c r="BL57" s="104"/>
      <c r="BM57" s="101"/>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row>
    <row r="58" spans="2:150" s="94" customFormat="1" ht="15" hidden="1" outlineLevel="1" thickBot="1" x14ac:dyDescent="0.35">
      <c r="B58" s="198" t="s">
        <v>220</v>
      </c>
      <c r="C58" s="87">
        <v>1</v>
      </c>
      <c r="D58" s="87" t="str">
        <f t="shared" si="31"/>
        <v>051</v>
      </c>
      <c r="F58" s="13" t="s">
        <v>440</v>
      </c>
      <c r="G58" s="14"/>
      <c r="H58" s="88">
        <f t="shared" si="136"/>
        <v>0</v>
      </c>
      <c r="I58" s="88">
        <f t="shared" si="137"/>
        <v>0</v>
      </c>
      <c r="J58" s="88">
        <f t="shared" si="11"/>
        <v>0</v>
      </c>
      <c r="K58" s="90">
        <f t="shared" si="12"/>
        <v>0</v>
      </c>
      <c r="L58" s="88">
        <f t="shared" si="101"/>
        <v>0</v>
      </c>
      <c r="M58" s="88">
        <f t="shared" si="13"/>
        <v>0</v>
      </c>
      <c r="N58" s="90">
        <f t="shared" si="14"/>
        <v>0</v>
      </c>
      <c r="O58" s="88">
        <f t="shared" si="15"/>
        <v>0</v>
      </c>
      <c r="P58" s="88">
        <f t="shared" si="16"/>
        <v>0</v>
      </c>
      <c r="Q58" s="90">
        <f t="shared" si="17"/>
        <v>0</v>
      </c>
      <c r="R58" s="102"/>
      <c r="S58" s="88"/>
      <c r="T58" s="88"/>
      <c r="U58" s="88"/>
      <c r="V58" s="88"/>
      <c r="W58" s="88"/>
      <c r="X58" s="88"/>
      <c r="Y58" s="88"/>
      <c r="Z58" s="88"/>
      <c r="AA58" s="88"/>
      <c r="AB58" s="88"/>
      <c r="AC58" s="88"/>
      <c r="AD58" s="88"/>
      <c r="AE58" s="82">
        <v>0</v>
      </c>
      <c r="AF58" s="88">
        <f>SUMIF('2022 Budget Expenses Model'!$C:$C,'Summary by Department &amp; Categor'!$D58,'2022 Budget Expenses Model'!I:I)</f>
        <v>0</v>
      </c>
      <c r="AG58" s="88">
        <f>SUMIF('2022 Budget Expenses Model'!$C:$C,'Summary by Department &amp; Categor'!$D58,'2022 Budget Expenses Model'!J:J)</f>
        <v>0</v>
      </c>
      <c r="AH58" s="88">
        <f>SUMIF('2022 Budget Expenses Model'!$C:$C,'Summary by Department &amp; Categor'!$D58,'2022 Budget Expenses Model'!K:K)</f>
        <v>0</v>
      </c>
      <c r="AI58" s="88">
        <f>SUMIF('2022 Budget Expenses Model'!$C:$C,'Summary by Department &amp; Categor'!$D58,'2022 Budget Expenses Model'!L:L)</f>
        <v>0</v>
      </c>
      <c r="AJ58" s="88">
        <f>SUMIF('2022 Budget Expenses Model'!$C:$C,'Summary by Department &amp; Categor'!$D58,'2022 Budget Expenses Model'!M:M)</f>
        <v>0</v>
      </c>
      <c r="AK58" s="88">
        <f>SUMIF('2022 Budget Expenses Model'!$C:$C,'Summary by Department &amp; Categor'!$D58,'2022 Budget Expenses Model'!N:N)</f>
        <v>0</v>
      </c>
      <c r="AL58" s="88">
        <f>SUMIF('2022 Budget Expenses Model'!$C:$C,'Summary by Department &amp; Categor'!$D58,'2022 Budget Expenses Model'!O:O)</f>
        <v>0</v>
      </c>
      <c r="AM58" s="88">
        <f>SUMIF('2022 Budget Expenses Model'!$C:$C,'Summary by Department &amp; Categor'!$D58,'2022 Budget Expenses Model'!P:P)</f>
        <v>0</v>
      </c>
      <c r="AN58" s="88">
        <f>SUMIF('2022 Budget Expenses Model'!$C:$C,'Summary by Department &amp; Categor'!$D58,'2022 Budget Expenses Model'!Q:Q)</f>
        <v>0</v>
      </c>
      <c r="AO58" s="88">
        <f>SUMIF('2022 Budget Expenses Model'!$C:$C,'Summary by Department &amp; Categor'!$D58,'2022 Budget Expenses Model'!R:R)</f>
        <v>0</v>
      </c>
      <c r="AP58" s="88">
        <f>SUMIF('2022 Budget Expenses Model'!$C:$C,'Summary by Department &amp; Categor'!$D58,'2022 Budget Expenses Model'!S:S)</f>
        <v>0</v>
      </c>
      <c r="AQ58" s="88">
        <f>SUMIF('2022 Budget Expenses Model'!$C:$C,'Summary by Department &amp; Categor'!$D58,'2022 Budget Expenses Model'!T:T)</f>
        <v>0</v>
      </c>
      <c r="AR58" s="88">
        <f t="shared" si="18"/>
        <v>0</v>
      </c>
      <c r="AS58" s="88">
        <f t="shared" si="19"/>
        <v>0</v>
      </c>
      <c r="AT58" s="90">
        <f t="shared" si="20"/>
        <v>0</v>
      </c>
      <c r="AU58" s="88"/>
      <c r="AV58" s="88"/>
      <c r="AW58" s="88"/>
      <c r="AX58" s="88"/>
      <c r="AY58" s="88"/>
      <c r="AZ58" s="88"/>
      <c r="BA58" s="88"/>
      <c r="BB58" s="88"/>
      <c r="BC58" s="88"/>
      <c r="BD58" s="88"/>
      <c r="BE58" s="88"/>
      <c r="BF58" s="88"/>
      <c r="BG58" s="88">
        <f t="shared" si="21"/>
        <v>0</v>
      </c>
      <c r="BH58" s="88">
        <f t="shared" si="22"/>
        <v>0</v>
      </c>
      <c r="BI58" s="90">
        <f t="shared" si="23"/>
        <v>0</v>
      </c>
      <c r="BJ58" s="103"/>
      <c r="BK58" s="88">
        <f t="shared" si="24"/>
        <v>0</v>
      </c>
      <c r="BL58" s="104"/>
      <c r="BM58" s="101"/>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row>
    <row r="59" spans="2:150" s="94" customFormat="1" ht="15" hidden="1" outlineLevel="1" thickBot="1" x14ac:dyDescent="0.35">
      <c r="B59" s="198" t="s">
        <v>220</v>
      </c>
      <c r="C59" s="87">
        <v>3</v>
      </c>
      <c r="D59" s="87" t="str">
        <f t="shared" si="31"/>
        <v>053</v>
      </c>
      <c r="F59" s="13" t="s">
        <v>238</v>
      </c>
      <c r="G59" s="14"/>
      <c r="H59" s="88">
        <f t="shared" si="136"/>
        <v>0</v>
      </c>
      <c r="I59" s="88">
        <f t="shared" si="137"/>
        <v>0</v>
      </c>
      <c r="J59" s="88">
        <f t="shared" si="11"/>
        <v>0</v>
      </c>
      <c r="K59" s="90">
        <f t="shared" si="12"/>
        <v>0</v>
      </c>
      <c r="L59" s="88">
        <f t="shared" si="101"/>
        <v>0</v>
      </c>
      <c r="M59" s="88">
        <f t="shared" si="13"/>
        <v>0</v>
      </c>
      <c r="N59" s="90">
        <f t="shared" si="14"/>
        <v>0</v>
      </c>
      <c r="O59" s="88">
        <f t="shared" si="15"/>
        <v>0</v>
      </c>
      <c r="P59" s="88">
        <f t="shared" si="16"/>
        <v>0</v>
      </c>
      <c r="Q59" s="90">
        <f t="shared" si="17"/>
        <v>0</v>
      </c>
      <c r="R59" s="102"/>
      <c r="S59" s="88"/>
      <c r="T59" s="88"/>
      <c r="U59" s="88"/>
      <c r="V59" s="88"/>
      <c r="W59" s="88"/>
      <c r="X59" s="88"/>
      <c r="Y59" s="88"/>
      <c r="Z59" s="88"/>
      <c r="AA59" s="88"/>
      <c r="AB59" s="88"/>
      <c r="AC59" s="88"/>
      <c r="AD59" s="88"/>
      <c r="AE59" s="82">
        <v>0</v>
      </c>
      <c r="AF59" s="88">
        <f>SUMIF('2022 Budget Expenses Model'!$C:$C,'Summary by Department &amp; Categor'!$D59,'2022 Budget Expenses Model'!I:I)</f>
        <v>0</v>
      </c>
      <c r="AG59" s="88">
        <f>SUMIF('2022 Budget Expenses Model'!$C:$C,'Summary by Department &amp; Categor'!$D59,'2022 Budget Expenses Model'!J:J)</f>
        <v>0</v>
      </c>
      <c r="AH59" s="88">
        <f>SUMIF('2022 Budget Expenses Model'!$C:$C,'Summary by Department &amp; Categor'!$D59,'2022 Budget Expenses Model'!K:K)</f>
        <v>0</v>
      </c>
      <c r="AI59" s="88">
        <f>SUMIF('2022 Budget Expenses Model'!$C:$C,'Summary by Department &amp; Categor'!$D59,'2022 Budget Expenses Model'!L:L)</f>
        <v>0</v>
      </c>
      <c r="AJ59" s="88">
        <f>SUMIF('2022 Budget Expenses Model'!$C:$C,'Summary by Department &amp; Categor'!$D59,'2022 Budget Expenses Model'!M:M)</f>
        <v>0</v>
      </c>
      <c r="AK59" s="88">
        <f>SUMIF('2022 Budget Expenses Model'!$C:$C,'Summary by Department &amp; Categor'!$D59,'2022 Budget Expenses Model'!N:N)</f>
        <v>0</v>
      </c>
      <c r="AL59" s="88">
        <f>SUMIF('2022 Budget Expenses Model'!$C:$C,'Summary by Department &amp; Categor'!$D59,'2022 Budget Expenses Model'!O:O)</f>
        <v>0</v>
      </c>
      <c r="AM59" s="88">
        <f>SUMIF('2022 Budget Expenses Model'!$C:$C,'Summary by Department &amp; Categor'!$D59,'2022 Budget Expenses Model'!P:P)</f>
        <v>0</v>
      </c>
      <c r="AN59" s="88">
        <f>SUMIF('2022 Budget Expenses Model'!$C:$C,'Summary by Department &amp; Categor'!$D59,'2022 Budget Expenses Model'!Q:Q)</f>
        <v>0</v>
      </c>
      <c r="AO59" s="88">
        <f>SUMIF('2022 Budget Expenses Model'!$C:$C,'Summary by Department &amp; Categor'!$D59,'2022 Budget Expenses Model'!R:R)</f>
        <v>0</v>
      </c>
      <c r="AP59" s="88">
        <f>SUMIF('2022 Budget Expenses Model'!$C:$C,'Summary by Department &amp; Categor'!$D59,'2022 Budget Expenses Model'!S:S)</f>
        <v>0</v>
      </c>
      <c r="AQ59" s="88">
        <f>SUMIF('2022 Budget Expenses Model'!$C:$C,'Summary by Department &amp; Categor'!$D59,'2022 Budget Expenses Model'!T:T)</f>
        <v>0</v>
      </c>
      <c r="AR59" s="88">
        <f t="shared" si="18"/>
        <v>0</v>
      </c>
      <c r="AS59" s="88">
        <f t="shared" si="19"/>
        <v>0</v>
      </c>
      <c r="AT59" s="90">
        <f t="shared" si="20"/>
        <v>0</v>
      </c>
      <c r="AU59" s="88"/>
      <c r="AV59" s="88"/>
      <c r="AW59" s="88"/>
      <c r="AX59" s="88"/>
      <c r="AY59" s="88"/>
      <c r="AZ59" s="88"/>
      <c r="BA59" s="88"/>
      <c r="BB59" s="88"/>
      <c r="BC59" s="88"/>
      <c r="BD59" s="88"/>
      <c r="BE59" s="88"/>
      <c r="BF59" s="88"/>
      <c r="BG59" s="88">
        <f t="shared" si="21"/>
        <v>0</v>
      </c>
      <c r="BH59" s="88">
        <f t="shared" si="22"/>
        <v>0</v>
      </c>
      <c r="BI59" s="90">
        <f t="shared" si="23"/>
        <v>0</v>
      </c>
      <c r="BJ59" s="103"/>
      <c r="BK59" s="88">
        <f t="shared" si="24"/>
        <v>0</v>
      </c>
      <c r="BL59" s="104"/>
      <c r="BM59" s="101"/>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row>
    <row r="60" spans="2:150" s="87" customFormat="1" ht="15" hidden="1" outlineLevel="1" thickBot="1" x14ac:dyDescent="0.35">
      <c r="B60" s="198" t="s">
        <v>220</v>
      </c>
      <c r="C60" s="87">
        <v>4</v>
      </c>
      <c r="D60" s="87" t="str">
        <f t="shared" si="31"/>
        <v>054</v>
      </c>
      <c r="F60" s="13" t="s">
        <v>244</v>
      </c>
      <c r="G60" s="12"/>
      <c r="H60" s="88">
        <f t="shared" si="136"/>
        <v>0</v>
      </c>
      <c r="I60" s="88">
        <f t="shared" si="137"/>
        <v>0</v>
      </c>
      <c r="J60" s="88">
        <f t="shared" si="11"/>
        <v>0</v>
      </c>
      <c r="K60" s="90">
        <f t="shared" si="12"/>
        <v>0</v>
      </c>
      <c r="L60" s="88">
        <f t="shared" si="101"/>
        <v>0</v>
      </c>
      <c r="M60" s="88">
        <f t="shared" si="13"/>
        <v>0</v>
      </c>
      <c r="N60" s="90">
        <f t="shared" si="14"/>
        <v>0</v>
      </c>
      <c r="O60" s="88">
        <f t="shared" si="15"/>
        <v>0</v>
      </c>
      <c r="P60" s="88">
        <f t="shared" si="16"/>
        <v>0</v>
      </c>
      <c r="Q60" s="90">
        <f t="shared" si="17"/>
        <v>0</v>
      </c>
      <c r="R60" s="98"/>
      <c r="S60" s="82"/>
      <c r="T60" s="82"/>
      <c r="U60" s="82"/>
      <c r="V60" s="82"/>
      <c r="W60" s="82"/>
      <c r="X60" s="82"/>
      <c r="Y60" s="82"/>
      <c r="Z60" s="82"/>
      <c r="AA60" s="82"/>
      <c r="AB60" s="82"/>
      <c r="AC60" s="82"/>
      <c r="AD60" s="82"/>
      <c r="AE60" s="82">
        <v>0</v>
      </c>
      <c r="AF60" s="88">
        <f>SUMIF('2022 Budget Expenses Model'!$C:$C,'Summary by Department &amp; Categor'!$D60,'2022 Budget Expenses Model'!I:I)</f>
        <v>0</v>
      </c>
      <c r="AG60" s="88">
        <f>SUMIF('2022 Budget Expenses Model'!$C:$C,'Summary by Department &amp; Categor'!$D60,'2022 Budget Expenses Model'!J:J)</f>
        <v>0</v>
      </c>
      <c r="AH60" s="88">
        <f>SUMIF('2022 Budget Expenses Model'!$C:$C,'Summary by Department &amp; Categor'!$D60,'2022 Budget Expenses Model'!K:K)</f>
        <v>0</v>
      </c>
      <c r="AI60" s="88">
        <f>SUMIF('2022 Budget Expenses Model'!$C:$C,'Summary by Department &amp; Categor'!$D60,'2022 Budget Expenses Model'!L:L)</f>
        <v>0</v>
      </c>
      <c r="AJ60" s="88">
        <f>SUMIF('2022 Budget Expenses Model'!$C:$C,'Summary by Department &amp; Categor'!$D60,'2022 Budget Expenses Model'!M:M)</f>
        <v>0</v>
      </c>
      <c r="AK60" s="88">
        <f>SUMIF('2022 Budget Expenses Model'!$C:$C,'Summary by Department &amp; Categor'!$D60,'2022 Budget Expenses Model'!N:N)</f>
        <v>0</v>
      </c>
      <c r="AL60" s="88">
        <f>SUMIF('2022 Budget Expenses Model'!$C:$C,'Summary by Department &amp; Categor'!$D60,'2022 Budget Expenses Model'!O:O)</f>
        <v>0</v>
      </c>
      <c r="AM60" s="88">
        <f>SUMIF('2022 Budget Expenses Model'!$C:$C,'Summary by Department &amp; Categor'!$D60,'2022 Budget Expenses Model'!P:P)</f>
        <v>0</v>
      </c>
      <c r="AN60" s="88">
        <f>SUMIF('2022 Budget Expenses Model'!$C:$C,'Summary by Department &amp; Categor'!$D60,'2022 Budget Expenses Model'!Q:Q)</f>
        <v>0</v>
      </c>
      <c r="AO60" s="88">
        <f>SUMIF('2022 Budget Expenses Model'!$C:$C,'Summary by Department &amp; Categor'!$D60,'2022 Budget Expenses Model'!R:R)</f>
        <v>0</v>
      </c>
      <c r="AP60" s="88">
        <f>SUMIF('2022 Budget Expenses Model'!$C:$C,'Summary by Department &amp; Categor'!$D60,'2022 Budget Expenses Model'!S:S)</f>
        <v>0</v>
      </c>
      <c r="AQ60" s="88">
        <f>SUMIF('2022 Budget Expenses Model'!$C:$C,'Summary by Department &amp; Categor'!$D60,'2022 Budget Expenses Model'!T:T)</f>
        <v>0</v>
      </c>
      <c r="AR60" s="88">
        <f t="shared" si="18"/>
        <v>0</v>
      </c>
      <c r="AS60" s="88">
        <f t="shared" si="19"/>
        <v>0</v>
      </c>
      <c r="AT60" s="90">
        <f t="shared" si="20"/>
        <v>0</v>
      </c>
      <c r="AU60" s="82"/>
      <c r="AV60" s="82"/>
      <c r="AW60" s="82"/>
      <c r="AX60" s="82"/>
      <c r="AY60" s="82"/>
      <c r="AZ60" s="82"/>
      <c r="BA60" s="82"/>
      <c r="BB60" s="82"/>
      <c r="BC60" s="82"/>
      <c r="BD60" s="82"/>
      <c r="BE60" s="82"/>
      <c r="BF60" s="82"/>
      <c r="BG60" s="88">
        <f t="shared" si="21"/>
        <v>0</v>
      </c>
      <c r="BH60" s="88">
        <f t="shared" si="22"/>
        <v>0</v>
      </c>
      <c r="BI60" s="90">
        <f t="shared" si="23"/>
        <v>0</v>
      </c>
      <c r="BJ60" s="99"/>
      <c r="BK60" s="88">
        <f t="shared" si="24"/>
        <v>0</v>
      </c>
      <c r="BL60" s="100"/>
      <c r="BM60" s="101"/>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row>
    <row r="61" spans="2:150" s="94" customFormat="1" ht="15" hidden="1" outlineLevel="1" thickBot="1" x14ac:dyDescent="0.35">
      <c r="B61" s="198" t="s">
        <v>220</v>
      </c>
      <c r="C61" s="87">
        <v>5</v>
      </c>
      <c r="D61" s="87" t="str">
        <f t="shared" si="31"/>
        <v>055</v>
      </c>
      <c r="F61" s="13" t="s">
        <v>251</v>
      </c>
      <c r="G61" s="14"/>
      <c r="H61" s="88">
        <f t="shared" si="136"/>
        <v>0</v>
      </c>
      <c r="I61" s="88">
        <f t="shared" si="137"/>
        <v>0</v>
      </c>
      <c r="J61" s="88">
        <f t="shared" si="11"/>
        <v>0</v>
      </c>
      <c r="K61" s="90">
        <f t="shared" si="12"/>
        <v>0</v>
      </c>
      <c r="L61" s="88">
        <f t="shared" si="101"/>
        <v>0</v>
      </c>
      <c r="M61" s="88">
        <f t="shared" si="13"/>
        <v>0</v>
      </c>
      <c r="N61" s="90">
        <f t="shared" si="14"/>
        <v>0</v>
      </c>
      <c r="O61" s="88">
        <f t="shared" si="15"/>
        <v>0</v>
      </c>
      <c r="P61" s="88">
        <f t="shared" si="16"/>
        <v>0</v>
      </c>
      <c r="Q61" s="90">
        <f t="shared" si="17"/>
        <v>0</v>
      </c>
      <c r="R61" s="102"/>
      <c r="S61" s="88"/>
      <c r="T61" s="88"/>
      <c r="U61" s="88"/>
      <c r="V61" s="88"/>
      <c r="W61" s="88"/>
      <c r="X61" s="88"/>
      <c r="Y61" s="88"/>
      <c r="Z61" s="88"/>
      <c r="AA61" s="88"/>
      <c r="AB61" s="88"/>
      <c r="AC61" s="88"/>
      <c r="AD61" s="88"/>
      <c r="AE61" s="82">
        <v>0</v>
      </c>
      <c r="AF61" s="88">
        <f>SUMIF('2022 Budget Expenses Model'!$C:$C,'Summary by Department &amp; Categor'!$D61,'2022 Budget Expenses Model'!I:I)</f>
        <v>0</v>
      </c>
      <c r="AG61" s="88">
        <f>SUMIF('2022 Budget Expenses Model'!$C:$C,'Summary by Department &amp; Categor'!$D61,'2022 Budget Expenses Model'!J:J)</f>
        <v>0</v>
      </c>
      <c r="AH61" s="88">
        <f>SUMIF('2022 Budget Expenses Model'!$C:$C,'Summary by Department &amp; Categor'!$D61,'2022 Budget Expenses Model'!K:K)</f>
        <v>0</v>
      </c>
      <c r="AI61" s="88">
        <f>SUMIF('2022 Budget Expenses Model'!$C:$C,'Summary by Department &amp; Categor'!$D61,'2022 Budget Expenses Model'!L:L)</f>
        <v>0</v>
      </c>
      <c r="AJ61" s="88">
        <f>SUMIF('2022 Budget Expenses Model'!$C:$C,'Summary by Department &amp; Categor'!$D61,'2022 Budget Expenses Model'!M:M)</f>
        <v>0</v>
      </c>
      <c r="AK61" s="88">
        <f>SUMIF('2022 Budget Expenses Model'!$C:$C,'Summary by Department &amp; Categor'!$D61,'2022 Budget Expenses Model'!N:N)</f>
        <v>0</v>
      </c>
      <c r="AL61" s="88">
        <f>SUMIF('2022 Budget Expenses Model'!$C:$C,'Summary by Department &amp; Categor'!$D61,'2022 Budget Expenses Model'!O:O)</f>
        <v>0</v>
      </c>
      <c r="AM61" s="88">
        <f>SUMIF('2022 Budget Expenses Model'!$C:$C,'Summary by Department &amp; Categor'!$D61,'2022 Budget Expenses Model'!P:P)</f>
        <v>0</v>
      </c>
      <c r="AN61" s="88">
        <f>SUMIF('2022 Budget Expenses Model'!$C:$C,'Summary by Department &amp; Categor'!$D61,'2022 Budget Expenses Model'!Q:Q)</f>
        <v>0</v>
      </c>
      <c r="AO61" s="88">
        <f>SUMIF('2022 Budget Expenses Model'!$C:$C,'Summary by Department &amp; Categor'!$D61,'2022 Budget Expenses Model'!R:R)</f>
        <v>0</v>
      </c>
      <c r="AP61" s="88">
        <f>SUMIF('2022 Budget Expenses Model'!$C:$C,'Summary by Department &amp; Categor'!$D61,'2022 Budget Expenses Model'!S:S)</f>
        <v>0</v>
      </c>
      <c r="AQ61" s="88">
        <f>SUMIF('2022 Budget Expenses Model'!$C:$C,'Summary by Department &amp; Categor'!$D61,'2022 Budget Expenses Model'!T:T)</f>
        <v>0</v>
      </c>
      <c r="AR61" s="88">
        <f t="shared" si="18"/>
        <v>0</v>
      </c>
      <c r="AS61" s="88">
        <f t="shared" si="19"/>
        <v>0</v>
      </c>
      <c r="AT61" s="90">
        <f t="shared" si="20"/>
        <v>0</v>
      </c>
      <c r="AU61" s="88"/>
      <c r="AV61" s="88"/>
      <c r="AW61" s="88"/>
      <c r="AX61" s="88"/>
      <c r="AY61" s="88"/>
      <c r="AZ61" s="88"/>
      <c r="BA61" s="88"/>
      <c r="BB61" s="88"/>
      <c r="BC61" s="88"/>
      <c r="BD61" s="88"/>
      <c r="BE61" s="88"/>
      <c r="BF61" s="88"/>
      <c r="BG61" s="88">
        <f t="shared" si="21"/>
        <v>0</v>
      </c>
      <c r="BH61" s="88">
        <f t="shared" si="22"/>
        <v>0</v>
      </c>
      <c r="BI61" s="90">
        <f t="shared" si="23"/>
        <v>0</v>
      </c>
      <c r="BJ61" s="103"/>
      <c r="BK61" s="88">
        <f t="shared" si="24"/>
        <v>0</v>
      </c>
      <c r="BL61" s="104"/>
      <c r="BM61" s="101"/>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row>
    <row r="62" spans="2:150" s="94" customFormat="1" ht="15" hidden="1" outlineLevel="1" thickBot="1" x14ac:dyDescent="0.35">
      <c r="B62" s="198" t="s">
        <v>220</v>
      </c>
      <c r="C62" s="87">
        <v>6</v>
      </c>
      <c r="D62" s="87" t="str">
        <f t="shared" si="31"/>
        <v>056</v>
      </c>
      <c r="F62" s="13" t="s">
        <v>31</v>
      </c>
      <c r="G62" s="14"/>
      <c r="H62" s="88">
        <f t="shared" si="136"/>
        <v>0</v>
      </c>
      <c r="I62" s="88">
        <f t="shared" si="137"/>
        <v>0</v>
      </c>
      <c r="J62" s="88">
        <f t="shared" si="11"/>
        <v>0</v>
      </c>
      <c r="K62" s="90">
        <f t="shared" si="12"/>
        <v>0</v>
      </c>
      <c r="L62" s="88">
        <f t="shared" si="101"/>
        <v>0</v>
      </c>
      <c r="M62" s="88">
        <f t="shared" si="13"/>
        <v>0</v>
      </c>
      <c r="N62" s="90">
        <f t="shared" si="14"/>
        <v>0</v>
      </c>
      <c r="O62" s="88">
        <f t="shared" si="15"/>
        <v>0</v>
      </c>
      <c r="P62" s="88">
        <f t="shared" si="16"/>
        <v>0</v>
      </c>
      <c r="Q62" s="90">
        <f t="shared" si="17"/>
        <v>0</v>
      </c>
      <c r="R62" s="102"/>
      <c r="S62" s="88"/>
      <c r="T62" s="88"/>
      <c r="U62" s="88"/>
      <c r="V62" s="88"/>
      <c r="W62" s="88"/>
      <c r="X62" s="88"/>
      <c r="Y62" s="88"/>
      <c r="Z62" s="88"/>
      <c r="AA62" s="88"/>
      <c r="AB62" s="88"/>
      <c r="AC62" s="88"/>
      <c r="AD62" s="88"/>
      <c r="AE62" s="82">
        <v>0</v>
      </c>
      <c r="AF62" s="88">
        <f>SUMIF('2022 Budget Expenses Model'!$C:$C,'Summary by Department &amp; Categor'!$D62,'2022 Budget Expenses Model'!I:I)</f>
        <v>0</v>
      </c>
      <c r="AG62" s="88">
        <f>SUMIF('2022 Budget Expenses Model'!$C:$C,'Summary by Department &amp; Categor'!$D62,'2022 Budget Expenses Model'!J:J)</f>
        <v>0</v>
      </c>
      <c r="AH62" s="88">
        <f>SUMIF('2022 Budget Expenses Model'!$C:$C,'Summary by Department &amp; Categor'!$D62,'2022 Budget Expenses Model'!K:K)</f>
        <v>0</v>
      </c>
      <c r="AI62" s="88">
        <f>SUMIF('2022 Budget Expenses Model'!$C:$C,'Summary by Department &amp; Categor'!$D62,'2022 Budget Expenses Model'!L:L)</f>
        <v>0</v>
      </c>
      <c r="AJ62" s="88">
        <f>SUMIF('2022 Budget Expenses Model'!$C:$C,'Summary by Department &amp; Categor'!$D62,'2022 Budget Expenses Model'!M:M)</f>
        <v>0</v>
      </c>
      <c r="AK62" s="88">
        <f>SUMIF('2022 Budget Expenses Model'!$C:$C,'Summary by Department &amp; Categor'!$D62,'2022 Budget Expenses Model'!N:N)</f>
        <v>0</v>
      </c>
      <c r="AL62" s="88">
        <f>SUMIF('2022 Budget Expenses Model'!$C:$C,'Summary by Department &amp; Categor'!$D62,'2022 Budget Expenses Model'!O:O)</f>
        <v>0</v>
      </c>
      <c r="AM62" s="88">
        <f>SUMIF('2022 Budget Expenses Model'!$C:$C,'Summary by Department &amp; Categor'!$D62,'2022 Budget Expenses Model'!P:P)</f>
        <v>0</v>
      </c>
      <c r="AN62" s="88">
        <f>SUMIF('2022 Budget Expenses Model'!$C:$C,'Summary by Department &amp; Categor'!$D62,'2022 Budget Expenses Model'!Q:Q)</f>
        <v>0</v>
      </c>
      <c r="AO62" s="88">
        <f>SUMIF('2022 Budget Expenses Model'!$C:$C,'Summary by Department &amp; Categor'!$D62,'2022 Budget Expenses Model'!R:R)</f>
        <v>0</v>
      </c>
      <c r="AP62" s="88">
        <f>SUMIF('2022 Budget Expenses Model'!$C:$C,'Summary by Department &amp; Categor'!$D62,'2022 Budget Expenses Model'!S:S)</f>
        <v>0</v>
      </c>
      <c r="AQ62" s="88">
        <f>SUMIF('2022 Budget Expenses Model'!$C:$C,'Summary by Department &amp; Categor'!$D62,'2022 Budget Expenses Model'!T:T)</f>
        <v>0</v>
      </c>
      <c r="AR62" s="88">
        <f t="shared" si="18"/>
        <v>0</v>
      </c>
      <c r="AS62" s="88">
        <f t="shared" si="19"/>
        <v>0</v>
      </c>
      <c r="AT62" s="90">
        <f t="shared" si="20"/>
        <v>0</v>
      </c>
      <c r="AU62" s="88"/>
      <c r="AV62" s="88"/>
      <c r="AW62" s="88"/>
      <c r="AX62" s="88"/>
      <c r="AY62" s="88"/>
      <c r="AZ62" s="88"/>
      <c r="BA62" s="88"/>
      <c r="BB62" s="88"/>
      <c r="BC62" s="88"/>
      <c r="BD62" s="88"/>
      <c r="BE62" s="88"/>
      <c r="BF62" s="88"/>
      <c r="BG62" s="88">
        <f t="shared" si="21"/>
        <v>0</v>
      </c>
      <c r="BH62" s="88">
        <f t="shared" si="22"/>
        <v>0</v>
      </c>
      <c r="BI62" s="90">
        <f t="shared" si="23"/>
        <v>0</v>
      </c>
      <c r="BJ62" s="103"/>
      <c r="BK62" s="88">
        <f t="shared" si="24"/>
        <v>0</v>
      </c>
      <c r="BL62" s="104"/>
      <c r="BM62" s="101"/>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row>
    <row r="63" spans="2:150" s="94" customFormat="1" ht="15" hidden="1" outlineLevel="1" thickBot="1" x14ac:dyDescent="0.35">
      <c r="B63" s="198" t="s">
        <v>220</v>
      </c>
      <c r="C63" s="87">
        <v>7</v>
      </c>
      <c r="D63" s="87" t="str">
        <f t="shared" si="31"/>
        <v>057</v>
      </c>
      <c r="F63" s="13" t="s">
        <v>256</v>
      </c>
      <c r="G63" s="14"/>
      <c r="H63" s="88">
        <f t="shared" si="136"/>
        <v>0</v>
      </c>
      <c r="I63" s="88">
        <f t="shared" si="137"/>
        <v>0</v>
      </c>
      <c r="J63" s="88">
        <f t="shared" si="11"/>
        <v>0</v>
      </c>
      <c r="K63" s="90">
        <f t="shared" si="12"/>
        <v>0</v>
      </c>
      <c r="L63" s="88">
        <f t="shared" si="101"/>
        <v>0</v>
      </c>
      <c r="M63" s="88">
        <f t="shared" si="13"/>
        <v>0</v>
      </c>
      <c r="N63" s="90">
        <f t="shared" si="14"/>
        <v>0</v>
      </c>
      <c r="O63" s="88">
        <f t="shared" si="15"/>
        <v>0</v>
      </c>
      <c r="P63" s="88">
        <f t="shared" si="16"/>
        <v>0</v>
      </c>
      <c r="Q63" s="90">
        <f t="shared" si="17"/>
        <v>0</v>
      </c>
      <c r="R63" s="102"/>
      <c r="S63" s="88"/>
      <c r="T63" s="88"/>
      <c r="U63" s="88"/>
      <c r="V63" s="88"/>
      <c r="W63" s="88"/>
      <c r="X63" s="88"/>
      <c r="Y63" s="88"/>
      <c r="Z63" s="88"/>
      <c r="AA63" s="88"/>
      <c r="AB63" s="88"/>
      <c r="AC63" s="88"/>
      <c r="AD63" s="88"/>
      <c r="AE63" s="82">
        <v>70350</v>
      </c>
      <c r="AF63" s="88">
        <f>SUMIF('2022 Budget Expenses Model'!$C:$C,'Summary by Department &amp; Categor'!$D63,'2022 Budget Expenses Model'!I:I)</f>
        <v>0</v>
      </c>
      <c r="AG63" s="88">
        <f>SUMIF('2022 Budget Expenses Model'!$C:$C,'Summary by Department &amp; Categor'!$D63,'2022 Budget Expenses Model'!J:J)</f>
        <v>0</v>
      </c>
      <c r="AH63" s="88">
        <f>SUMIF('2022 Budget Expenses Model'!$C:$C,'Summary by Department &amp; Categor'!$D63,'2022 Budget Expenses Model'!K:K)</f>
        <v>0</v>
      </c>
      <c r="AI63" s="88">
        <f>SUMIF('2022 Budget Expenses Model'!$C:$C,'Summary by Department &amp; Categor'!$D63,'2022 Budget Expenses Model'!L:L)</f>
        <v>0</v>
      </c>
      <c r="AJ63" s="88">
        <f>SUMIF('2022 Budget Expenses Model'!$C:$C,'Summary by Department &amp; Categor'!$D63,'2022 Budget Expenses Model'!M:M)</f>
        <v>0</v>
      </c>
      <c r="AK63" s="88">
        <f>SUMIF('2022 Budget Expenses Model'!$C:$C,'Summary by Department &amp; Categor'!$D63,'2022 Budget Expenses Model'!N:N)</f>
        <v>50000</v>
      </c>
      <c r="AL63" s="88">
        <f>SUMIF('2022 Budget Expenses Model'!$C:$C,'Summary by Department &amp; Categor'!$D63,'2022 Budget Expenses Model'!O:O)</f>
        <v>0</v>
      </c>
      <c r="AM63" s="88">
        <f>SUMIF('2022 Budget Expenses Model'!$C:$C,'Summary by Department &amp; Categor'!$D63,'2022 Budget Expenses Model'!P:P)</f>
        <v>0</v>
      </c>
      <c r="AN63" s="88">
        <f>SUMIF('2022 Budget Expenses Model'!$C:$C,'Summary by Department &amp; Categor'!$D63,'2022 Budget Expenses Model'!Q:Q)</f>
        <v>50000</v>
      </c>
      <c r="AO63" s="88">
        <f>SUMIF('2022 Budget Expenses Model'!$C:$C,'Summary by Department &amp; Categor'!$D63,'2022 Budget Expenses Model'!R:R)</f>
        <v>0</v>
      </c>
      <c r="AP63" s="88">
        <f>SUMIF('2022 Budget Expenses Model'!$C:$C,'Summary by Department &amp; Categor'!$D63,'2022 Budget Expenses Model'!S:S)</f>
        <v>50000</v>
      </c>
      <c r="AQ63" s="88">
        <f>SUMIF('2022 Budget Expenses Model'!$C:$C,'Summary by Department &amp; Categor'!$D63,'2022 Budget Expenses Model'!T:T)</f>
        <v>100000</v>
      </c>
      <c r="AR63" s="88">
        <f t="shared" si="18"/>
        <v>250000</v>
      </c>
      <c r="AS63" s="88">
        <f t="shared" si="19"/>
        <v>-179650</v>
      </c>
      <c r="AT63" s="90">
        <f t="shared" si="20"/>
        <v>-0.71860000000000002</v>
      </c>
      <c r="AU63" s="88"/>
      <c r="AV63" s="88"/>
      <c r="AW63" s="88"/>
      <c r="AX63" s="88"/>
      <c r="AY63" s="88"/>
      <c r="AZ63" s="88"/>
      <c r="BA63" s="88"/>
      <c r="BB63" s="88"/>
      <c r="BC63" s="88"/>
      <c r="BD63" s="88"/>
      <c r="BE63" s="88"/>
      <c r="BF63" s="88"/>
      <c r="BG63" s="88">
        <f t="shared" si="21"/>
        <v>0</v>
      </c>
      <c r="BH63" s="88">
        <f t="shared" si="22"/>
        <v>70350</v>
      </c>
      <c r="BI63" s="90">
        <f t="shared" si="23"/>
        <v>0</v>
      </c>
      <c r="BJ63" s="103"/>
      <c r="BK63" s="88">
        <f t="shared" si="24"/>
        <v>250000</v>
      </c>
      <c r="BL63" s="104"/>
      <c r="BM63" s="101"/>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row>
    <row r="64" spans="2:150" s="94" customFormat="1" ht="15" hidden="1" outlineLevel="1" thickBot="1" x14ac:dyDescent="0.35">
      <c r="B64" s="198" t="s">
        <v>220</v>
      </c>
      <c r="C64" s="87">
        <v>8</v>
      </c>
      <c r="D64" s="87" t="str">
        <f t="shared" si="31"/>
        <v>058</v>
      </c>
      <c r="F64" s="13" t="s">
        <v>46</v>
      </c>
      <c r="G64" s="14"/>
      <c r="H64" s="88">
        <f t="shared" si="136"/>
        <v>0</v>
      </c>
      <c r="I64" s="88">
        <f t="shared" si="137"/>
        <v>0</v>
      </c>
      <c r="J64" s="88">
        <f t="shared" si="11"/>
        <v>0</v>
      </c>
      <c r="K64" s="90">
        <f t="shared" si="12"/>
        <v>0</v>
      </c>
      <c r="L64" s="88">
        <f t="shared" si="101"/>
        <v>0</v>
      </c>
      <c r="M64" s="88">
        <f t="shared" si="13"/>
        <v>0</v>
      </c>
      <c r="N64" s="90">
        <f t="shared" si="14"/>
        <v>0</v>
      </c>
      <c r="O64" s="88">
        <f t="shared" si="15"/>
        <v>0</v>
      </c>
      <c r="P64" s="88">
        <f t="shared" si="16"/>
        <v>0</v>
      </c>
      <c r="Q64" s="90">
        <f t="shared" si="17"/>
        <v>0</v>
      </c>
      <c r="R64" s="102"/>
      <c r="S64" s="88"/>
      <c r="T64" s="88"/>
      <c r="U64" s="88"/>
      <c r="V64" s="88"/>
      <c r="W64" s="88"/>
      <c r="X64" s="88"/>
      <c r="Y64" s="88"/>
      <c r="Z64" s="88"/>
      <c r="AA64" s="88"/>
      <c r="AB64" s="88"/>
      <c r="AC64" s="88"/>
      <c r="AD64" s="88"/>
      <c r="AE64" s="82">
        <v>0</v>
      </c>
      <c r="AF64" s="88">
        <f>SUMIF('2022 Budget Expenses Model'!$C:$C,'Summary by Department &amp; Categor'!$D64,'2022 Budget Expenses Model'!I:I)</f>
        <v>0</v>
      </c>
      <c r="AG64" s="88">
        <f>SUMIF('2022 Budget Expenses Model'!$C:$C,'Summary by Department &amp; Categor'!$D64,'2022 Budget Expenses Model'!J:J)</f>
        <v>0</v>
      </c>
      <c r="AH64" s="88">
        <f>SUMIF('2022 Budget Expenses Model'!$C:$C,'Summary by Department &amp; Categor'!$D64,'2022 Budget Expenses Model'!K:K)</f>
        <v>0</v>
      </c>
      <c r="AI64" s="88">
        <f>SUMIF('2022 Budget Expenses Model'!$C:$C,'Summary by Department &amp; Categor'!$D64,'2022 Budget Expenses Model'!L:L)</f>
        <v>0</v>
      </c>
      <c r="AJ64" s="88">
        <f>SUMIF('2022 Budget Expenses Model'!$C:$C,'Summary by Department &amp; Categor'!$D64,'2022 Budget Expenses Model'!M:M)</f>
        <v>0</v>
      </c>
      <c r="AK64" s="88">
        <f>SUMIF('2022 Budget Expenses Model'!$C:$C,'Summary by Department &amp; Categor'!$D64,'2022 Budget Expenses Model'!N:N)</f>
        <v>0</v>
      </c>
      <c r="AL64" s="88">
        <f>SUMIF('2022 Budget Expenses Model'!$C:$C,'Summary by Department &amp; Categor'!$D64,'2022 Budget Expenses Model'!O:O)</f>
        <v>0</v>
      </c>
      <c r="AM64" s="88">
        <f>SUMIF('2022 Budget Expenses Model'!$C:$C,'Summary by Department &amp; Categor'!$D64,'2022 Budget Expenses Model'!P:P)</f>
        <v>0</v>
      </c>
      <c r="AN64" s="88">
        <f>SUMIF('2022 Budget Expenses Model'!$C:$C,'Summary by Department &amp; Categor'!$D64,'2022 Budget Expenses Model'!Q:Q)</f>
        <v>0</v>
      </c>
      <c r="AO64" s="88">
        <f>SUMIF('2022 Budget Expenses Model'!$C:$C,'Summary by Department &amp; Categor'!$D64,'2022 Budget Expenses Model'!R:R)</f>
        <v>0</v>
      </c>
      <c r="AP64" s="88">
        <f>SUMIF('2022 Budget Expenses Model'!$C:$C,'Summary by Department &amp; Categor'!$D64,'2022 Budget Expenses Model'!S:S)</f>
        <v>0</v>
      </c>
      <c r="AQ64" s="88">
        <f>SUMIF('2022 Budget Expenses Model'!$C:$C,'Summary by Department &amp; Categor'!$D64,'2022 Budget Expenses Model'!T:T)</f>
        <v>0</v>
      </c>
      <c r="AR64" s="88">
        <f t="shared" si="18"/>
        <v>0</v>
      </c>
      <c r="AS64" s="88">
        <f t="shared" si="19"/>
        <v>0</v>
      </c>
      <c r="AT64" s="90">
        <f t="shared" si="20"/>
        <v>0</v>
      </c>
      <c r="AU64" s="88"/>
      <c r="AV64" s="88"/>
      <c r="AW64" s="88"/>
      <c r="AX64" s="88"/>
      <c r="AY64" s="88"/>
      <c r="AZ64" s="88"/>
      <c r="BA64" s="88"/>
      <c r="BB64" s="88"/>
      <c r="BC64" s="88"/>
      <c r="BD64" s="88"/>
      <c r="BE64" s="88"/>
      <c r="BF64" s="88"/>
      <c r="BG64" s="88">
        <f t="shared" si="21"/>
        <v>0</v>
      </c>
      <c r="BH64" s="88">
        <f t="shared" si="22"/>
        <v>0</v>
      </c>
      <c r="BI64" s="90">
        <f t="shared" si="23"/>
        <v>0</v>
      </c>
      <c r="BJ64" s="103"/>
      <c r="BK64" s="88">
        <f t="shared" si="24"/>
        <v>0</v>
      </c>
      <c r="BL64" s="104"/>
      <c r="BM64" s="101"/>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row>
    <row r="65" spans="2:150" s="87" customFormat="1" ht="15" collapsed="1" thickBot="1" x14ac:dyDescent="0.35">
      <c r="F65" s="11" t="s">
        <v>154</v>
      </c>
      <c r="G65" s="12"/>
      <c r="H65" s="82">
        <f t="shared" si="136"/>
        <v>0</v>
      </c>
      <c r="I65" s="82">
        <f t="shared" si="137"/>
        <v>0</v>
      </c>
      <c r="J65" s="82">
        <f t="shared" si="11"/>
        <v>0</v>
      </c>
      <c r="K65" s="83">
        <f t="shared" si="12"/>
        <v>0</v>
      </c>
      <c r="L65" s="82">
        <f t="shared" si="101"/>
        <v>0</v>
      </c>
      <c r="M65" s="82">
        <f t="shared" si="13"/>
        <v>0</v>
      </c>
      <c r="N65" s="83">
        <f t="shared" si="14"/>
        <v>0</v>
      </c>
      <c r="O65" s="82">
        <f t="shared" si="15"/>
        <v>0</v>
      </c>
      <c r="P65" s="82">
        <f t="shared" si="16"/>
        <v>0</v>
      </c>
      <c r="Q65" s="83">
        <f t="shared" si="17"/>
        <v>0</v>
      </c>
      <c r="R65" s="98"/>
      <c r="S65" s="82">
        <f>SUM(S66:S73)</f>
        <v>0</v>
      </c>
      <c r="T65" s="82">
        <f t="shared" ref="T65" si="172">SUM(T66:T73)</f>
        <v>0</v>
      </c>
      <c r="U65" s="82">
        <f t="shared" ref="U65" si="173">SUM(U66:U73)</f>
        <v>0</v>
      </c>
      <c r="V65" s="82">
        <f t="shared" ref="V65" si="174">SUM(V66:V73)</f>
        <v>0</v>
      </c>
      <c r="W65" s="82">
        <f t="shared" ref="W65" si="175">SUM(W66:W73)</f>
        <v>0</v>
      </c>
      <c r="X65" s="82">
        <f t="shared" ref="X65" si="176">SUM(X66:X73)</f>
        <v>0</v>
      </c>
      <c r="Y65" s="82">
        <f t="shared" ref="Y65" si="177">SUM(Y66:Y73)</f>
        <v>0</v>
      </c>
      <c r="Z65" s="82">
        <f t="shared" ref="Z65" si="178">SUM(Z66:Z73)</f>
        <v>0</v>
      </c>
      <c r="AA65" s="82">
        <f t="shared" ref="AA65" si="179">SUM(AA66:AA73)</f>
        <v>0</v>
      </c>
      <c r="AB65" s="82">
        <f t="shared" ref="AB65" si="180">SUM(AB66:AB73)</f>
        <v>0</v>
      </c>
      <c r="AC65" s="82">
        <f t="shared" ref="AC65" si="181">SUM(AC66:AC73)</f>
        <v>0</v>
      </c>
      <c r="AD65" s="82">
        <f t="shared" ref="AD65" si="182">SUM(AD66:AD73)</f>
        <v>0</v>
      </c>
      <c r="AE65" s="82">
        <v>8791.6</v>
      </c>
      <c r="AF65" s="82">
        <f>SUM(AF66:AF73)</f>
        <v>0</v>
      </c>
      <c r="AG65" s="82">
        <f t="shared" ref="AG65" si="183">SUM(AG66:AG73)</f>
        <v>0</v>
      </c>
      <c r="AH65" s="82">
        <f t="shared" ref="AH65" si="184">SUM(AH66:AH73)</f>
        <v>0</v>
      </c>
      <c r="AI65" s="82">
        <f t="shared" ref="AI65" si="185">SUM(AI66:AI73)</f>
        <v>0</v>
      </c>
      <c r="AJ65" s="82">
        <f t="shared" ref="AJ65" si="186">SUM(AJ66:AJ73)</f>
        <v>0</v>
      </c>
      <c r="AK65" s="82">
        <f t="shared" ref="AK65" si="187">SUM(AK66:AK73)</f>
        <v>0</v>
      </c>
      <c r="AL65" s="82">
        <f t="shared" ref="AL65" si="188">SUM(AL66:AL73)</f>
        <v>0</v>
      </c>
      <c r="AM65" s="82">
        <f t="shared" ref="AM65" si="189">SUM(AM66:AM73)</f>
        <v>0</v>
      </c>
      <c r="AN65" s="82">
        <f t="shared" ref="AN65" si="190">SUM(AN66:AN73)</f>
        <v>0</v>
      </c>
      <c r="AO65" s="82">
        <f t="shared" ref="AO65" si="191">SUM(AO66:AO73)</f>
        <v>0</v>
      </c>
      <c r="AP65" s="82">
        <f t="shared" ref="AP65" si="192">SUM(AP66:AP73)</f>
        <v>0</v>
      </c>
      <c r="AQ65" s="82">
        <f t="shared" ref="AQ65" si="193">SUM(AQ66:AQ73)</f>
        <v>0</v>
      </c>
      <c r="AR65" s="82">
        <f t="shared" si="18"/>
        <v>0</v>
      </c>
      <c r="AS65" s="82">
        <f t="shared" si="19"/>
        <v>8791.6</v>
      </c>
      <c r="AT65" s="83">
        <f t="shared" si="20"/>
        <v>0</v>
      </c>
      <c r="AU65" s="82">
        <f>SUM(AU66:AU73)</f>
        <v>0</v>
      </c>
      <c r="AV65" s="82">
        <f t="shared" ref="AV65" si="194">SUM(AV66:AV73)</f>
        <v>0</v>
      </c>
      <c r="AW65" s="82">
        <f t="shared" ref="AW65" si="195">SUM(AW66:AW73)</f>
        <v>0</v>
      </c>
      <c r="AX65" s="82">
        <f t="shared" ref="AX65" si="196">SUM(AX66:AX73)</f>
        <v>0</v>
      </c>
      <c r="AY65" s="82">
        <f t="shared" ref="AY65" si="197">SUM(AY66:AY73)</f>
        <v>0</v>
      </c>
      <c r="AZ65" s="82">
        <f t="shared" ref="AZ65" si="198">SUM(AZ66:AZ73)</f>
        <v>0</v>
      </c>
      <c r="BA65" s="82">
        <f t="shared" ref="BA65" si="199">SUM(BA66:BA73)</f>
        <v>0</v>
      </c>
      <c r="BB65" s="82">
        <f t="shared" ref="BB65" si="200">SUM(BB66:BB73)</f>
        <v>0</v>
      </c>
      <c r="BC65" s="82">
        <f t="shared" ref="BC65" si="201">SUM(BC66:BC73)</f>
        <v>0</v>
      </c>
      <c r="BD65" s="82">
        <f t="shared" ref="BD65" si="202">SUM(BD66:BD73)</f>
        <v>0</v>
      </c>
      <c r="BE65" s="82">
        <f t="shared" ref="BE65" si="203">SUM(BE66:BE73)</f>
        <v>0</v>
      </c>
      <c r="BF65" s="82">
        <f t="shared" ref="BF65" si="204">SUM(BF66:BF73)</f>
        <v>0</v>
      </c>
      <c r="BG65" s="82">
        <f t="shared" si="21"/>
        <v>0</v>
      </c>
      <c r="BH65" s="82">
        <f t="shared" si="22"/>
        <v>8791.6</v>
      </c>
      <c r="BI65" s="83">
        <f t="shared" si="23"/>
        <v>0</v>
      </c>
      <c r="BJ65" s="99"/>
      <c r="BK65" s="82">
        <f t="shared" ref="BK65" si="205">SUM(BK66:BK73)</f>
        <v>0</v>
      </c>
      <c r="BL65" s="100"/>
      <c r="BM65" s="101"/>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row>
    <row r="66" spans="2:150" s="87" customFormat="1" ht="15" hidden="1" outlineLevel="1" thickBot="1" x14ac:dyDescent="0.35">
      <c r="B66" s="197" t="s">
        <v>221</v>
      </c>
      <c r="C66" s="87">
        <v>2</v>
      </c>
      <c r="D66" s="87" t="str">
        <f t="shared" si="31"/>
        <v>062</v>
      </c>
      <c r="F66" s="13" t="s">
        <v>233</v>
      </c>
      <c r="G66" s="12"/>
      <c r="H66" s="88">
        <f t="shared" si="136"/>
        <v>0</v>
      </c>
      <c r="I66" s="88">
        <f t="shared" si="137"/>
        <v>0</v>
      </c>
      <c r="J66" s="88">
        <f t="shared" si="11"/>
        <v>0</v>
      </c>
      <c r="K66" s="90">
        <f t="shared" si="12"/>
        <v>0</v>
      </c>
      <c r="L66" s="88">
        <f t="shared" si="101"/>
        <v>0</v>
      </c>
      <c r="M66" s="88">
        <f t="shared" si="13"/>
        <v>0</v>
      </c>
      <c r="N66" s="90">
        <f t="shared" si="14"/>
        <v>0</v>
      </c>
      <c r="O66" s="88">
        <f t="shared" si="15"/>
        <v>0</v>
      </c>
      <c r="P66" s="88">
        <f t="shared" si="16"/>
        <v>0</v>
      </c>
      <c r="Q66" s="90">
        <f t="shared" si="17"/>
        <v>0</v>
      </c>
      <c r="R66" s="98"/>
      <c r="S66" s="82"/>
      <c r="T66" s="82"/>
      <c r="U66" s="82"/>
      <c r="V66" s="82"/>
      <c r="W66" s="82"/>
      <c r="X66" s="82"/>
      <c r="Y66" s="82"/>
      <c r="Z66" s="82"/>
      <c r="AA66" s="82"/>
      <c r="AB66" s="82"/>
      <c r="AC66" s="82"/>
      <c r="AD66" s="82"/>
      <c r="AE66" s="82">
        <v>0</v>
      </c>
      <c r="AF66" s="88">
        <f>SUMIF('2022 Budget Expenses Model'!$C:$C,'Summary by Department &amp; Categor'!$D66,'2022 Budget Expenses Model'!I:I)</f>
        <v>0</v>
      </c>
      <c r="AG66" s="88">
        <f>SUMIF('2022 Budget Expenses Model'!$C:$C,'Summary by Department &amp; Categor'!$D66,'2022 Budget Expenses Model'!J:J)</f>
        <v>0</v>
      </c>
      <c r="AH66" s="88">
        <f>SUMIF('2022 Budget Expenses Model'!$C:$C,'Summary by Department &amp; Categor'!$D66,'2022 Budget Expenses Model'!K:K)</f>
        <v>0</v>
      </c>
      <c r="AI66" s="88">
        <f>SUMIF('2022 Budget Expenses Model'!$C:$C,'Summary by Department &amp; Categor'!$D66,'2022 Budget Expenses Model'!L:L)</f>
        <v>0</v>
      </c>
      <c r="AJ66" s="88">
        <f>SUMIF('2022 Budget Expenses Model'!$C:$C,'Summary by Department &amp; Categor'!$D66,'2022 Budget Expenses Model'!M:M)</f>
        <v>0</v>
      </c>
      <c r="AK66" s="88">
        <f>SUMIF('2022 Budget Expenses Model'!$C:$C,'Summary by Department &amp; Categor'!$D66,'2022 Budget Expenses Model'!N:N)</f>
        <v>0</v>
      </c>
      <c r="AL66" s="88">
        <f>SUMIF('2022 Budget Expenses Model'!$C:$C,'Summary by Department &amp; Categor'!$D66,'2022 Budget Expenses Model'!O:O)</f>
        <v>0</v>
      </c>
      <c r="AM66" s="88">
        <f>SUMIF('2022 Budget Expenses Model'!$C:$C,'Summary by Department &amp; Categor'!$D66,'2022 Budget Expenses Model'!P:P)</f>
        <v>0</v>
      </c>
      <c r="AN66" s="88">
        <f>SUMIF('2022 Budget Expenses Model'!$C:$C,'Summary by Department &amp; Categor'!$D66,'2022 Budget Expenses Model'!Q:Q)</f>
        <v>0</v>
      </c>
      <c r="AO66" s="88">
        <f>SUMIF('2022 Budget Expenses Model'!$C:$C,'Summary by Department &amp; Categor'!$D66,'2022 Budget Expenses Model'!R:R)</f>
        <v>0</v>
      </c>
      <c r="AP66" s="88">
        <f>SUMIF('2022 Budget Expenses Model'!$C:$C,'Summary by Department &amp; Categor'!$D66,'2022 Budget Expenses Model'!S:S)</f>
        <v>0</v>
      </c>
      <c r="AQ66" s="88">
        <f>SUMIF('2022 Budget Expenses Model'!$C:$C,'Summary by Department &amp; Categor'!$D66,'2022 Budget Expenses Model'!T:T)</f>
        <v>0</v>
      </c>
      <c r="AR66" s="88">
        <f t="shared" si="18"/>
        <v>0</v>
      </c>
      <c r="AS66" s="88">
        <f t="shared" si="19"/>
        <v>0</v>
      </c>
      <c r="AT66" s="90">
        <f t="shared" si="20"/>
        <v>0</v>
      </c>
      <c r="AU66" s="82"/>
      <c r="AV66" s="82"/>
      <c r="AW66" s="82"/>
      <c r="AX66" s="82"/>
      <c r="AY66" s="82"/>
      <c r="AZ66" s="82"/>
      <c r="BA66" s="82"/>
      <c r="BB66" s="82"/>
      <c r="BC66" s="82"/>
      <c r="BD66" s="82"/>
      <c r="BE66" s="82"/>
      <c r="BF66" s="82"/>
      <c r="BG66" s="88">
        <f t="shared" si="21"/>
        <v>0</v>
      </c>
      <c r="BH66" s="88">
        <f t="shared" si="22"/>
        <v>0</v>
      </c>
      <c r="BI66" s="90">
        <f t="shared" si="23"/>
        <v>0</v>
      </c>
      <c r="BJ66" s="99"/>
      <c r="BK66" s="88">
        <f t="shared" si="24"/>
        <v>0</v>
      </c>
      <c r="BL66" s="100"/>
      <c r="BM66" s="101"/>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row>
    <row r="67" spans="2:150" s="87" customFormat="1" ht="15" hidden="1" outlineLevel="1" thickBot="1" x14ac:dyDescent="0.35">
      <c r="B67" s="197" t="s">
        <v>221</v>
      </c>
      <c r="C67" s="87">
        <v>1</v>
      </c>
      <c r="D67" s="87" t="str">
        <f t="shared" si="31"/>
        <v>061</v>
      </c>
      <c r="F67" s="13" t="s">
        <v>440</v>
      </c>
      <c r="G67" s="12"/>
      <c r="H67" s="88">
        <f t="shared" si="136"/>
        <v>0</v>
      </c>
      <c r="I67" s="88">
        <f t="shared" si="137"/>
        <v>0</v>
      </c>
      <c r="J67" s="88">
        <f t="shared" si="11"/>
        <v>0</v>
      </c>
      <c r="K67" s="90">
        <f t="shared" si="12"/>
        <v>0</v>
      </c>
      <c r="L67" s="88">
        <f t="shared" si="101"/>
        <v>0</v>
      </c>
      <c r="M67" s="88">
        <f t="shared" si="13"/>
        <v>0</v>
      </c>
      <c r="N67" s="90">
        <f t="shared" si="14"/>
        <v>0</v>
      </c>
      <c r="O67" s="88">
        <f t="shared" si="15"/>
        <v>0</v>
      </c>
      <c r="P67" s="88">
        <f t="shared" si="16"/>
        <v>0</v>
      </c>
      <c r="Q67" s="90">
        <f t="shared" si="17"/>
        <v>0</v>
      </c>
      <c r="R67" s="98"/>
      <c r="S67" s="82"/>
      <c r="T67" s="82"/>
      <c r="U67" s="82"/>
      <c r="V67" s="82"/>
      <c r="W67" s="82"/>
      <c r="X67" s="82"/>
      <c r="Y67" s="82"/>
      <c r="Z67" s="82"/>
      <c r="AA67" s="82"/>
      <c r="AB67" s="82"/>
      <c r="AC67" s="82"/>
      <c r="AD67" s="82"/>
      <c r="AE67" s="82">
        <v>0</v>
      </c>
      <c r="AF67" s="88">
        <f>SUMIF('2022 Budget Expenses Model'!$C:$C,'Summary by Department &amp; Categor'!$D67,'2022 Budget Expenses Model'!I:I)</f>
        <v>0</v>
      </c>
      <c r="AG67" s="88">
        <f>SUMIF('2022 Budget Expenses Model'!$C:$C,'Summary by Department &amp; Categor'!$D67,'2022 Budget Expenses Model'!J:J)</f>
        <v>0</v>
      </c>
      <c r="AH67" s="88">
        <f>SUMIF('2022 Budget Expenses Model'!$C:$C,'Summary by Department &amp; Categor'!$D67,'2022 Budget Expenses Model'!K:K)</f>
        <v>0</v>
      </c>
      <c r="AI67" s="88">
        <f>SUMIF('2022 Budget Expenses Model'!$C:$C,'Summary by Department &amp; Categor'!$D67,'2022 Budget Expenses Model'!L:L)</f>
        <v>0</v>
      </c>
      <c r="AJ67" s="88">
        <f>SUMIF('2022 Budget Expenses Model'!$C:$C,'Summary by Department &amp; Categor'!$D67,'2022 Budget Expenses Model'!M:M)</f>
        <v>0</v>
      </c>
      <c r="AK67" s="88">
        <f>SUMIF('2022 Budget Expenses Model'!$C:$C,'Summary by Department &amp; Categor'!$D67,'2022 Budget Expenses Model'!N:N)</f>
        <v>0</v>
      </c>
      <c r="AL67" s="88">
        <f>SUMIF('2022 Budget Expenses Model'!$C:$C,'Summary by Department &amp; Categor'!$D67,'2022 Budget Expenses Model'!O:O)</f>
        <v>0</v>
      </c>
      <c r="AM67" s="88">
        <f>SUMIF('2022 Budget Expenses Model'!$C:$C,'Summary by Department &amp; Categor'!$D67,'2022 Budget Expenses Model'!P:P)</f>
        <v>0</v>
      </c>
      <c r="AN67" s="88">
        <f>SUMIF('2022 Budget Expenses Model'!$C:$C,'Summary by Department &amp; Categor'!$D67,'2022 Budget Expenses Model'!Q:Q)</f>
        <v>0</v>
      </c>
      <c r="AO67" s="88">
        <f>SUMIF('2022 Budget Expenses Model'!$C:$C,'Summary by Department &amp; Categor'!$D67,'2022 Budget Expenses Model'!R:R)</f>
        <v>0</v>
      </c>
      <c r="AP67" s="88">
        <f>SUMIF('2022 Budget Expenses Model'!$C:$C,'Summary by Department &amp; Categor'!$D67,'2022 Budget Expenses Model'!S:S)</f>
        <v>0</v>
      </c>
      <c r="AQ67" s="88">
        <f>SUMIF('2022 Budget Expenses Model'!$C:$C,'Summary by Department &amp; Categor'!$D67,'2022 Budget Expenses Model'!T:T)</f>
        <v>0</v>
      </c>
      <c r="AR67" s="88">
        <f t="shared" si="18"/>
        <v>0</v>
      </c>
      <c r="AS67" s="88">
        <f t="shared" si="19"/>
        <v>0</v>
      </c>
      <c r="AT67" s="90">
        <f t="shared" si="20"/>
        <v>0</v>
      </c>
      <c r="AU67" s="82"/>
      <c r="AV67" s="82"/>
      <c r="AW67" s="82"/>
      <c r="AX67" s="82"/>
      <c r="AY67" s="82"/>
      <c r="AZ67" s="82"/>
      <c r="BA67" s="82"/>
      <c r="BB67" s="82"/>
      <c r="BC67" s="82"/>
      <c r="BD67" s="82"/>
      <c r="BE67" s="82"/>
      <c r="BF67" s="82"/>
      <c r="BG67" s="88">
        <f t="shared" si="21"/>
        <v>0</v>
      </c>
      <c r="BH67" s="88">
        <f t="shared" si="22"/>
        <v>0</v>
      </c>
      <c r="BI67" s="90">
        <f t="shared" si="23"/>
        <v>0</v>
      </c>
      <c r="BJ67" s="99"/>
      <c r="BK67" s="88">
        <f t="shared" si="24"/>
        <v>0</v>
      </c>
      <c r="BL67" s="100"/>
      <c r="BM67" s="101"/>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row>
    <row r="68" spans="2:150" s="87" customFormat="1" ht="15" hidden="1" outlineLevel="1" thickBot="1" x14ac:dyDescent="0.35">
      <c r="B68" s="197" t="s">
        <v>221</v>
      </c>
      <c r="C68" s="87">
        <v>3</v>
      </c>
      <c r="D68" s="87" t="str">
        <f t="shared" si="31"/>
        <v>063</v>
      </c>
      <c r="F68" s="13" t="s">
        <v>238</v>
      </c>
      <c r="G68" s="12"/>
      <c r="H68" s="88">
        <f t="shared" si="136"/>
        <v>0</v>
      </c>
      <c r="I68" s="88">
        <f t="shared" si="137"/>
        <v>0</v>
      </c>
      <c r="J68" s="88">
        <f t="shared" si="11"/>
        <v>0</v>
      </c>
      <c r="K68" s="90">
        <f t="shared" si="12"/>
        <v>0</v>
      </c>
      <c r="L68" s="88">
        <f t="shared" si="101"/>
        <v>0</v>
      </c>
      <c r="M68" s="88">
        <f t="shared" si="13"/>
        <v>0</v>
      </c>
      <c r="N68" s="90">
        <f t="shared" si="14"/>
        <v>0</v>
      </c>
      <c r="O68" s="88">
        <f t="shared" si="15"/>
        <v>0</v>
      </c>
      <c r="P68" s="88">
        <f t="shared" si="16"/>
        <v>0</v>
      </c>
      <c r="Q68" s="90">
        <f t="shared" si="17"/>
        <v>0</v>
      </c>
      <c r="R68" s="98"/>
      <c r="S68" s="82"/>
      <c r="T68" s="82"/>
      <c r="U68" s="82"/>
      <c r="V68" s="82"/>
      <c r="W68" s="82"/>
      <c r="X68" s="82"/>
      <c r="Y68" s="82"/>
      <c r="Z68" s="82"/>
      <c r="AA68" s="82"/>
      <c r="AB68" s="82"/>
      <c r="AC68" s="82"/>
      <c r="AD68" s="82"/>
      <c r="AE68" s="82">
        <v>0</v>
      </c>
      <c r="AF68" s="88">
        <f>SUMIF('2022 Budget Expenses Model'!$C:$C,'Summary by Department &amp; Categor'!$D68,'2022 Budget Expenses Model'!I:I)</f>
        <v>0</v>
      </c>
      <c r="AG68" s="88">
        <f>SUMIF('2022 Budget Expenses Model'!$C:$C,'Summary by Department &amp; Categor'!$D68,'2022 Budget Expenses Model'!J:J)</f>
        <v>0</v>
      </c>
      <c r="AH68" s="88">
        <f>SUMIF('2022 Budget Expenses Model'!$C:$C,'Summary by Department &amp; Categor'!$D68,'2022 Budget Expenses Model'!K:K)</f>
        <v>0</v>
      </c>
      <c r="AI68" s="88">
        <f>SUMIF('2022 Budget Expenses Model'!$C:$C,'Summary by Department &amp; Categor'!$D68,'2022 Budget Expenses Model'!L:L)</f>
        <v>0</v>
      </c>
      <c r="AJ68" s="88">
        <f>SUMIF('2022 Budget Expenses Model'!$C:$C,'Summary by Department &amp; Categor'!$D68,'2022 Budget Expenses Model'!M:M)</f>
        <v>0</v>
      </c>
      <c r="AK68" s="88">
        <f>SUMIF('2022 Budget Expenses Model'!$C:$C,'Summary by Department &amp; Categor'!$D68,'2022 Budget Expenses Model'!N:N)</f>
        <v>0</v>
      </c>
      <c r="AL68" s="88">
        <f>SUMIF('2022 Budget Expenses Model'!$C:$C,'Summary by Department &amp; Categor'!$D68,'2022 Budget Expenses Model'!O:O)</f>
        <v>0</v>
      </c>
      <c r="AM68" s="88">
        <f>SUMIF('2022 Budget Expenses Model'!$C:$C,'Summary by Department &amp; Categor'!$D68,'2022 Budget Expenses Model'!P:P)</f>
        <v>0</v>
      </c>
      <c r="AN68" s="88">
        <f>SUMIF('2022 Budget Expenses Model'!$C:$C,'Summary by Department &amp; Categor'!$D68,'2022 Budget Expenses Model'!Q:Q)</f>
        <v>0</v>
      </c>
      <c r="AO68" s="88">
        <f>SUMIF('2022 Budget Expenses Model'!$C:$C,'Summary by Department &amp; Categor'!$D68,'2022 Budget Expenses Model'!R:R)</f>
        <v>0</v>
      </c>
      <c r="AP68" s="88">
        <f>SUMIF('2022 Budget Expenses Model'!$C:$C,'Summary by Department &amp; Categor'!$D68,'2022 Budget Expenses Model'!S:S)</f>
        <v>0</v>
      </c>
      <c r="AQ68" s="88">
        <f>SUMIF('2022 Budget Expenses Model'!$C:$C,'Summary by Department &amp; Categor'!$D68,'2022 Budget Expenses Model'!T:T)</f>
        <v>0</v>
      </c>
      <c r="AR68" s="88">
        <f t="shared" si="18"/>
        <v>0</v>
      </c>
      <c r="AS68" s="88">
        <f t="shared" si="19"/>
        <v>0</v>
      </c>
      <c r="AT68" s="90">
        <f t="shared" si="20"/>
        <v>0</v>
      </c>
      <c r="AU68" s="82"/>
      <c r="AV68" s="82"/>
      <c r="AW68" s="82"/>
      <c r="AX68" s="82"/>
      <c r="AY68" s="82"/>
      <c r="AZ68" s="82"/>
      <c r="BA68" s="82"/>
      <c r="BB68" s="82"/>
      <c r="BC68" s="82"/>
      <c r="BD68" s="82"/>
      <c r="BE68" s="82"/>
      <c r="BF68" s="82"/>
      <c r="BG68" s="88">
        <f t="shared" si="21"/>
        <v>0</v>
      </c>
      <c r="BH68" s="88">
        <f t="shared" si="22"/>
        <v>0</v>
      </c>
      <c r="BI68" s="90">
        <f t="shared" si="23"/>
        <v>0</v>
      </c>
      <c r="BJ68" s="99"/>
      <c r="BK68" s="88">
        <f t="shared" si="24"/>
        <v>0</v>
      </c>
      <c r="BL68" s="100"/>
      <c r="BM68" s="101"/>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row>
    <row r="69" spans="2:150" s="87" customFormat="1" ht="15" hidden="1" outlineLevel="1" thickBot="1" x14ac:dyDescent="0.35">
      <c r="B69" s="197" t="s">
        <v>221</v>
      </c>
      <c r="C69" s="87">
        <v>4</v>
      </c>
      <c r="D69" s="87" t="str">
        <f t="shared" si="31"/>
        <v>064</v>
      </c>
      <c r="F69" s="13" t="s">
        <v>244</v>
      </c>
      <c r="G69" s="12"/>
      <c r="H69" s="88">
        <f t="shared" si="136"/>
        <v>0</v>
      </c>
      <c r="I69" s="88">
        <f t="shared" si="137"/>
        <v>0</v>
      </c>
      <c r="J69" s="88">
        <f t="shared" si="11"/>
        <v>0</v>
      </c>
      <c r="K69" s="90">
        <f t="shared" si="12"/>
        <v>0</v>
      </c>
      <c r="L69" s="88">
        <f t="shared" si="101"/>
        <v>0</v>
      </c>
      <c r="M69" s="88">
        <f t="shared" si="13"/>
        <v>0</v>
      </c>
      <c r="N69" s="90">
        <f t="shared" si="14"/>
        <v>0</v>
      </c>
      <c r="O69" s="88">
        <f t="shared" si="15"/>
        <v>0</v>
      </c>
      <c r="P69" s="88">
        <f t="shared" si="16"/>
        <v>0</v>
      </c>
      <c r="Q69" s="90">
        <f t="shared" si="17"/>
        <v>0</v>
      </c>
      <c r="R69" s="98"/>
      <c r="S69" s="82"/>
      <c r="T69" s="82"/>
      <c r="U69" s="82"/>
      <c r="V69" s="82"/>
      <c r="W69" s="82"/>
      <c r="X69" s="82"/>
      <c r="Y69" s="82"/>
      <c r="Z69" s="82"/>
      <c r="AA69" s="82"/>
      <c r="AB69" s="82"/>
      <c r="AC69" s="82"/>
      <c r="AD69" s="82"/>
      <c r="AE69" s="82">
        <v>2250</v>
      </c>
      <c r="AF69" s="88">
        <f>SUMIF('2022 Budget Expenses Model'!$C:$C,'Summary by Department &amp; Categor'!$D69,'2022 Budget Expenses Model'!I:I)</f>
        <v>0</v>
      </c>
      <c r="AG69" s="88">
        <f>SUMIF('2022 Budget Expenses Model'!$C:$C,'Summary by Department &amp; Categor'!$D69,'2022 Budget Expenses Model'!J:J)</f>
        <v>0</v>
      </c>
      <c r="AH69" s="88">
        <f>SUMIF('2022 Budget Expenses Model'!$C:$C,'Summary by Department &amp; Categor'!$D69,'2022 Budget Expenses Model'!K:K)</f>
        <v>0</v>
      </c>
      <c r="AI69" s="88">
        <f>SUMIF('2022 Budget Expenses Model'!$C:$C,'Summary by Department &amp; Categor'!$D69,'2022 Budget Expenses Model'!L:L)</f>
        <v>0</v>
      </c>
      <c r="AJ69" s="88">
        <f>SUMIF('2022 Budget Expenses Model'!$C:$C,'Summary by Department &amp; Categor'!$D69,'2022 Budget Expenses Model'!M:M)</f>
        <v>0</v>
      </c>
      <c r="AK69" s="88">
        <f>SUMIF('2022 Budget Expenses Model'!$C:$C,'Summary by Department &amp; Categor'!$D69,'2022 Budget Expenses Model'!N:N)</f>
        <v>0</v>
      </c>
      <c r="AL69" s="88">
        <f>SUMIF('2022 Budget Expenses Model'!$C:$C,'Summary by Department &amp; Categor'!$D69,'2022 Budget Expenses Model'!O:O)</f>
        <v>0</v>
      </c>
      <c r="AM69" s="88">
        <f>SUMIF('2022 Budget Expenses Model'!$C:$C,'Summary by Department &amp; Categor'!$D69,'2022 Budget Expenses Model'!P:P)</f>
        <v>0</v>
      </c>
      <c r="AN69" s="88">
        <f>SUMIF('2022 Budget Expenses Model'!$C:$C,'Summary by Department &amp; Categor'!$D69,'2022 Budget Expenses Model'!Q:Q)</f>
        <v>0</v>
      </c>
      <c r="AO69" s="88">
        <f>SUMIF('2022 Budget Expenses Model'!$C:$C,'Summary by Department &amp; Categor'!$D69,'2022 Budget Expenses Model'!R:R)</f>
        <v>0</v>
      </c>
      <c r="AP69" s="88">
        <f>SUMIF('2022 Budget Expenses Model'!$C:$C,'Summary by Department &amp; Categor'!$D69,'2022 Budget Expenses Model'!S:S)</f>
        <v>0</v>
      </c>
      <c r="AQ69" s="88">
        <f>SUMIF('2022 Budget Expenses Model'!$C:$C,'Summary by Department &amp; Categor'!$D69,'2022 Budget Expenses Model'!T:T)</f>
        <v>0</v>
      </c>
      <c r="AR69" s="88">
        <f t="shared" si="18"/>
        <v>0</v>
      </c>
      <c r="AS69" s="88">
        <f t="shared" si="19"/>
        <v>2250</v>
      </c>
      <c r="AT69" s="90">
        <f t="shared" si="20"/>
        <v>0</v>
      </c>
      <c r="AU69" s="82"/>
      <c r="AV69" s="82"/>
      <c r="AW69" s="82"/>
      <c r="AX69" s="82"/>
      <c r="AY69" s="82"/>
      <c r="AZ69" s="82"/>
      <c r="BA69" s="82"/>
      <c r="BB69" s="82"/>
      <c r="BC69" s="82"/>
      <c r="BD69" s="82"/>
      <c r="BE69" s="82"/>
      <c r="BF69" s="82"/>
      <c r="BG69" s="88">
        <f t="shared" si="21"/>
        <v>0</v>
      </c>
      <c r="BH69" s="88">
        <f t="shared" si="22"/>
        <v>2250</v>
      </c>
      <c r="BI69" s="90">
        <f t="shared" si="23"/>
        <v>0</v>
      </c>
      <c r="BJ69" s="99"/>
      <c r="BK69" s="88">
        <f t="shared" si="24"/>
        <v>0</v>
      </c>
      <c r="BL69" s="100"/>
      <c r="BM69" s="101"/>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row>
    <row r="70" spans="2:150" s="87" customFormat="1" ht="15" hidden="1" outlineLevel="1" thickBot="1" x14ac:dyDescent="0.35">
      <c r="B70" s="197" t="s">
        <v>221</v>
      </c>
      <c r="C70" s="87">
        <v>5</v>
      </c>
      <c r="D70" s="87" t="str">
        <f t="shared" si="31"/>
        <v>065</v>
      </c>
      <c r="F70" s="13" t="s">
        <v>251</v>
      </c>
      <c r="G70" s="12"/>
      <c r="H70" s="88">
        <f t="shared" si="136"/>
        <v>0</v>
      </c>
      <c r="I70" s="88">
        <f t="shared" si="137"/>
        <v>0</v>
      </c>
      <c r="J70" s="88">
        <f t="shared" si="11"/>
        <v>0</v>
      </c>
      <c r="K70" s="90">
        <f t="shared" si="12"/>
        <v>0</v>
      </c>
      <c r="L70" s="88">
        <f t="shared" si="101"/>
        <v>0</v>
      </c>
      <c r="M70" s="88">
        <f t="shared" si="13"/>
        <v>0</v>
      </c>
      <c r="N70" s="90">
        <f t="shared" si="14"/>
        <v>0</v>
      </c>
      <c r="O70" s="88">
        <f t="shared" si="15"/>
        <v>0</v>
      </c>
      <c r="P70" s="88">
        <f t="shared" si="16"/>
        <v>0</v>
      </c>
      <c r="Q70" s="90">
        <f t="shared" si="17"/>
        <v>0</v>
      </c>
      <c r="R70" s="98"/>
      <c r="S70" s="82"/>
      <c r="T70" s="82"/>
      <c r="U70" s="82"/>
      <c r="V70" s="82"/>
      <c r="W70" s="82"/>
      <c r="X70" s="82"/>
      <c r="Y70" s="82"/>
      <c r="Z70" s="82"/>
      <c r="AA70" s="82"/>
      <c r="AB70" s="82"/>
      <c r="AC70" s="82"/>
      <c r="AD70" s="82"/>
      <c r="AE70" s="82">
        <v>0</v>
      </c>
      <c r="AF70" s="88">
        <f>SUMIF('2022 Budget Expenses Model'!$C:$C,'Summary by Department &amp; Categor'!$D70,'2022 Budget Expenses Model'!I:I)</f>
        <v>0</v>
      </c>
      <c r="AG70" s="88">
        <f>SUMIF('2022 Budget Expenses Model'!$C:$C,'Summary by Department &amp; Categor'!$D70,'2022 Budget Expenses Model'!J:J)</f>
        <v>0</v>
      </c>
      <c r="AH70" s="88">
        <f>SUMIF('2022 Budget Expenses Model'!$C:$C,'Summary by Department &amp; Categor'!$D70,'2022 Budget Expenses Model'!K:K)</f>
        <v>0</v>
      </c>
      <c r="AI70" s="88">
        <f>SUMIF('2022 Budget Expenses Model'!$C:$C,'Summary by Department &amp; Categor'!$D70,'2022 Budget Expenses Model'!L:L)</f>
        <v>0</v>
      </c>
      <c r="AJ70" s="88">
        <f>SUMIF('2022 Budget Expenses Model'!$C:$C,'Summary by Department &amp; Categor'!$D70,'2022 Budget Expenses Model'!M:M)</f>
        <v>0</v>
      </c>
      <c r="AK70" s="88">
        <f>SUMIF('2022 Budget Expenses Model'!$C:$C,'Summary by Department &amp; Categor'!$D70,'2022 Budget Expenses Model'!N:N)</f>
        <v>0</v>
      </c>
      <c r="AL70" s="88">
        <f>SUMIF('2022 Budget Expenses Model'!$C:$C,'Summary by Department &amp; Categor'!$D70,'2022 Budget Expenses Model'!O:O)</f>
        <v>0</v>
      </c>
      <c r="AM70" s="88">
        <f>SUMIF('2022 Budget Expenses Model'!$C:$C,'Summary by Department &amp; Categor'!$D70,'2022 Budget Expenses Model'!P:P)</f>
        <v>0</v>
      </c>
      <c r="AN70" s="88">
        <f>SUMIF('2022 Budget Expenses Model'!$C:$C,'Summary by Department &amp; Categor'!$D70,'2022 Budget Expenses Model'!Q:Q)</f>
        <v>0</v>
      </c>
      <c r="AO70" s="88">
        <f>SUMIF('2022 Budget Expenses Model'!$C:$C,'Summary by Department &amp; Categor'!$D70,'2022 Budget Expenses Model'!R:R)</f>
        <v>0</v>
      </c>
      <c r="AP70" s="88">
        <f>SUMIF('2022 Budget Expenses Model'!$C:$C,'Summary by Department &amp; Categor'!$D70,'2022 Budget Expenses Model'!S:S)</f>
        <v>0</v>
      </c>
      <c r="AQ70" s="88">
        <f>SUMIF('2022 Budget Expenses Model'!$C:$C,'Summary by Department &amp; Categor'!$D70,'2022 Budget Expenses Model'!T:T)</f>
        <v>0</v>
      </c>
      <c r="AR70" s="88">
        <f t="shared" si="18"/>
        <v>0</v>
      </c>
      <c r="AS70" s="88">
        <f t="shared" si="19"/>
        <v>0</v>
      </c>
      <c r="AT70" s="90">
        <f t="shared" si="20"/>
        <v>0</v>
      </c>
      <c r="AU70" s="82"/>
      <c r="AV70" s="82"/>
      <c r="AW70" s="82"/>
      <c r="AX70" s="82"/>
      <c r="AY70" s="82"/>
      <c r="AZ70" s="82"/>
      <c r="BA70" s="82"/>
      <c r="BB70" s="82"/>
      <c r="BC70" s="82"/>
      <c r="BD70" s="82"/>
      <c r="BE70" s="82"/>
      <c r="BF70" s="82"/>
      <c r="BG70" s="88">
        <f t="shared" si="21"/>
        <v>0</v>
      </c>
      <c r="BH70" s="88">
        <f t="shared" si="22"/>
        <v>0</v>
      </c>
      <c r="BI70" s="90">
        <f t="shared" si="23"/>
        <v>0</v>
      </c>
      <c r="BJ70" s="99"/>
      <c r="BK70" s="88">
        <f t="shared" si="24"/>
        <v>0</v>
      </c>
      <c r="BL70" s="100"/>
      <c r="BM70" s="101"/>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row>
    <row r="71" spans="2:150" s="87" customFormat="1" ht="15" hidden="1" outlineLevel="1" thickBot="1" x14ac:dyDescent="0.35">
      <c r="B71" s="197" t="s">
        <v>221</v>
      </c>
      <c r="C71" s="87">
        <v>6</v>
      </c>
      <c r="D71" s="87" t="str">
        <f t="shared" si="31"/>
        <v>066</v>
      </c>
      <c r="F71" s="13" t="s">
        <v>31</v>
      </c>
      <c r="G71" s="12"/>
      <c r="H71" s="88">
        <f t="shared" si="136"/>
        <v>0</v>
      </c>
      <c r="I71" s="88">
        <f t="shared" si="137"/>
        <v>0</v>
      </c>
      <c r="J71" s="88">
        <f t="shared" si="11"/>
        <v>0</v>
      </c>
      <c r="K71" s="90">
        <f t="shared" si="12"/>
        <v>0</v>
      </c>
      <c r="L71" s="88">
        <f t="shared" si="101"/>
        <v>0</v>
      </c>
      <c r="M71" s="88">
        <f t="shared" si="13"/>
        <v>0</v>
      </c>
      <c r="N71" s="90">
        <f t="shared" si="14"/>
        <v>0</v>
      </c>
      <c r="O71" s="88">
        <f t="shared" si="15"/>
        <v>0</v>
      </c>
      <c r="P71" s="88">
        <f t="shared" si="16"/>
        <v>0</v>
      </c>
      <c r="Q71" s="90">
        <f t="shared" si="17"/>
        <v>0</v>
      </c>
      <c r="R71" s="98"/>
      <c r="S71" s="82"/>
      <c r="T71" s="82"/>
      <c r="U71" s="82"/>
      <c r="V71" s="82"/>
      <c r="W71" s="82"/>
      <c r="X71" s="82"/>
      <c r="Y71" s="82"/>
      <c r="Z71" s="82"/>
      <c r="AA71" s="82"/>
      <c r="AB71" s="82"/>
      <c r="AC71" s="82"/>
      <c r="AD71" s="82"/>
      <c r="AE71" s="82">
        <v>6541.6</v>
      </c>
      <c r="AF71" s="88">
        <f>SUMIF('2022 Budget Expenses Model'!$C:$C,'Summary by Department &amp; Categor'!$D71,'2022 Budget Expenses Model'!I:I)</f>
        <v>0</v>
      </c>
      <c r="AG71" s="88">
        <f>SUMIF('2022 Budget Expenses Model'!$C:$C,'Summary by Department &amp; Categor'!$D71,'2022 Budget Expenses Model'!J:J)</f>
        <v>0</v>
      </c>
      <c r="AH71" s="88">
        <f>SUMIF('2022 Budget Expenses Model'!$C:$C,'Summary by Department &amp; Categor'!$D71,'2022 Budget Expenses Model'!K:K)</f>
        <v>0</v>
      </c>
      <c r="AI71" s="88">
        <f>SUMIF('2022 Budget Expenses Model'!$C:$C,'Summary by Department &amp; Categor'!$D71,'2022 Budget Expenses Model'!L:L)</f>
        <v>0</v>
      </c>
      <c r="AJ71" s="88">
        <f>SUMIF('2022 Budget Expenses Model'!$C:$C,'Summary by Department &amp; Categor'!$D71,'2022 Budget Expenses Model'!M:M)</f>
        <v>0</v>
      </c>
      <c r="AK71" s="88">
        <f>SUMIF('2022 Budget Expenses Model'!$C:$C,'Summary by Department &amp; Categor'!$D71,'2022 Budget Expenses Model'!N:N)</f>
        <v>0</v>
      </c>
      <c r="AL71" s="88">
        <f>SUMIF('2022 Budget Expenses Model'!$C:$C,'Summary by Department &amp; Categor'!$D71,'2022 Budget Expenses Model'!O:O)</f>
        <v>0</v>
      </c>
      <c r="AM71" s="88">
        <f>SUMIF('2022 Budget Expenses Model'!$C:$C,'Summary by Department &amp; Categor'!$D71,'2022 Budget Expenses Model'!P:P)</f>
        <v>0</v>
      </c>
      <c r="AN71" s="88">
        <f>SUMIF('2022 Budget Expenses Model'!$C:$C,'Summary by Department &amp; Categor'!$D71,'2022 Budget Expenses Model'!Q:Q)</f>
        <v>0</v>
      </c>
      <c r="AO71" s="88">
        <f>SUMIF('2022 Budget Expenses Model'!$C:$C,'Summary by Department &amp; Categor'!$D71,'2022 Budget Expenses Model'!R:R)</f>
        <v>0</v>
      </c>
      <c r="AP71" s="88">
        <f>SUMIF('2022 Budget Expenses Model'!$C:$C,'Summary by Department &amp; Categor'!$D71,'2022 Budget Expenses Model'!S:S)</f>
        <v>0</v>
      </c>
      <c r="AQ71" s="88">
        <f>SUMIF('2022 Budget Expenses Model'!$C:$C,'Summary by Department &amp; Categor'!$D71,'2022 Budget Expenses Model'!T:T)</f>
        <v>0</v>
      </c>
      <c r="AR71" s="88">
        <f t="shared" si="18"/>
        <v>0</v>
      </c>
      <c r="AS71" s="88">
        <f t="shared" si="19"/>
        <v>6541.6</v>
      </c>
      <c r="AT71" s="90">
        <f t="shared" si="20"/>
        <v>0</v>
      </c>
      <c r="AU71" s="82"/>
      <c r="AV71" s="82"/>
      <c r="AW71" s="82"/>
      <c r="AX71" s="82"/>
      <c r="AY71" s="82"/>
      <c r="AZ71" s="82"/>
      <c r="BA71" s="82"/>
      <c r="BB71" s="82"/>
      <c r="BC71" s="82"/>
      <c r="BD71" s="82"/>
      <c r="BE71" s="82"/>
      <c r="BF71" s="82"/>
      <c r="BG71" s="88">
        <f t="shared" si="21"/>
        <v>0</v>
      </c>
      <c r="BH71" s="88">
        <f t="shared" si="22"/>
        <v>6541.6</v>
      </c>
      <c r="BI71" s="90">
        <f t="shared" si="23"/>
        <v>0</v>
      </c>
      <c r="BJ71" s="99"/>
      <c r="BK71" s="88">
        <f t="shared" si="24"/>
        <v>0</v>
      </c>
      <c r="BL71" s="100"/>
      <c r="BM71" s="101"/>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row>
    <row r="72" spans="2:150" s="87" customFormat="1" ht="15" hidden="1" outlineLevel="1" thickBot="1" x14ac:dyDescent="0.35">
      <c r="B72" s="197" t="s">
        <v>221</v>
      </c>
      <c r="C72" s="87">
        <v>7</v>
      </c>
      <c r="D72" s="87" t="str">
        <f t="shared" si="31"/>
        <v>067</v>
      </c>
      <c r="F72" s="13" t="s">
        <v>256</v>
      </c>
      <c r="G72" s="12"/>
      <c r="H72" s="88">
        <f t="shared" si="136"/>
        <v>0</v>
      </c>
      <c r="I72" s="88">
        <f t="shared" si="137"/>
        <v>0</v>
      </c>
      <c r="J72" s="88">
        <f t="shared" si="11"/>
        <v>0</v>
      </c>
      <c r="K72" s="90">
        <f t="shared" si="12"/>
        <v>0</v>
      </c>
      <c r="L72" s="88">
        <f t="shared" si="101"/>
        <v>0</v>
      </c>
      <c r="M72" s="88">
        <f t="shared" si="13"/>
        <v>0</v>
      </c>
      <c r="N72" s="90">
        <f t="shared" si="14"/>
        <v>0</v>
      </c>
      <c r="O72" s="88">
        <f t="shared" si="15"/>
        <v>0</v>
      </c>
      <c r="P72" s="88">
        <f t="shared" si="16"/>
        <v>0</v>
      </c>
      <c r="Q72" s="90">
        <f t="shared" si="17"/>
        <v>0</v>
      </c>
      <c r="R72" s="98"/>
      <c r="S72" s="82"/>
      <c r="T72" s="82"/>
      <c r="U72" s="82"/>
      <c r="V72" s="82"/>
      <c r="W72" s="82"/>
      <c r="X72" s="82"/>
      <c r="Y72" s="82"/>
      <c r="Z72" s="82"/>
      <c r="AA72" s="82"/>
      <c r="AB72" s="82"/>
      <c r="AC72" s="82"/>
      <c r="AD72" s="82"/>
      <c r="AE72" s="82">
        <v>0</v>
      </c>
      <c r="AF72" s="88">
        <f>SUMIF('2022 Budget Expenses Model'!$C:$C,'Summary by Department &amp; Categor'!$D72,'2022 Budget Expenses Model'!I:I)</f>
        <v>0</v>
      </c>
      <c r="AG72" s="88">
        <f>SUMIF('2022 Budget Expenses Model'!$C:$C,'Summary by Department &amp; Categor'!$D72,'2022 Budget Expenses Model'!J:J)</f>
        <v>0</v>
      </c>
      <c r="AH72" s="88">
        <f>SUMIF('2022 Budget Expenses Model'!$C:$C,'Summary by Department &amp; Categor'!$D72,'2022 Budget Expenses Model'!K:K)</f>
        <v>0</v>
      </c>
      <c r="AI72" s="88">
        <f>SUMIF('2022 Budget Expenses Model'!$C:$C,'Summary by Department &amp; Categor'!$D72,'2022 Budget Expenses Model'!L:L)</f>
        <v>0</v>
      </c>
      <c r="AJ72" s="88">
        <f>SUMIF('2022 Budget Expenses Model'!$C:$C,'Summary by Department &amp; Categor'!$D72,'2022 Budget Expenses Model'!M:M)</f>
        <v>0</v>
      </c>
      <c r="AK72" s="88">
        <f>SUMIF('2022 Budget Expenses Model'!$C:$C,'Summary by Department &amp; Categor'!$D72,'2022 Budget Expenses Model'!N:N)</f>
        <v>0</v>
      </c>
      <c r="AL72" s="88">
        <f>SUMIF('2022 Budget Expenses Model'!$C:$C,'Summary by Department &amp; Categor'!$D72,'2022 Budget Expenses Model'!O:O)</f>
        <v>0</v>
      </c>
      <c r="AM72" s="88">
        <f>SUMIF('2022 Budget Expenses Model'!$C:$C,'Summary by Department &amp; Categor'!$D72,'2022 Budget Expenses Model'!P:P)</f>
        <v>0</v>
      </c>
      <c r="AN72" s="88">
        <f>SUMIF('2022 Budget Expenses Model'!$C:$C,'Summary by Department &amp; Categor'!$D72,'2022 Budget Expenses Model'!Q:Q)</f>
        <v>0</v>
      </c>
      <c r="AO72" s="88">
        <f>SUMIF('2022 Budget Expenses Model'!$C:$C,'Summary by Department &amp; Categor'!$D72,'2022 Budget Expenses Model'!R:R)</f>
        <v>0</v>
      </c>
      <c r="AP72" s="88">
        <f>SUMIF('2022 Budget Expenses Model'!$C:$C,'Summary by Department &amp; Categor'!$D72,'2022 Budget Expenses Model'!S:S)</f>
        <v>0</v>
      </c>
      <c r="AQ72" s="88">
        <f>SUMIF('2022 Budget Expenses Model'!$C:$C,'Summary by Department &amp; Categor'!$D72,'2022 Budget Expenses Model'!T:T)</f>
        <v>0</v>
      </c>
      <c r="AR72" s="88">
        <f t="shared" si="18"/>
        <v>0</v>
      </c>
      <c r="AS72" s="88">
        <f t="shared" si="19"/>
        <v>0</v>
      </c>
      <c r="AT72" s="90">
        <f t="shared" si="20"/>
        <v>0</v>
      </c>
      <c r="AU72" s="82"/>
      <c r="AV72" s="82"/>
      <c r="AW72" s="82"/>
      <c r="AX72" s="82"/>
      <c r="AY72" s="82"/>
      <c r="AZ72" s="82"/>
      <c r="BA72" s="82"/>
      <c r="BB72" s="82"/>
      <c r="BC72" s="82"/>
      <c r="BD72" s="82"/>
      <c r="BE72" s="82"/>
      <c r="BF72" s="82"/>
      <c r="BG72" s="88">
        <f t="shared" si="21"/>
        <v>0</v>
      </c>
      <c r="BH72" s="88">
        <f t="shared" si="22"/>
        <v>0</v>
      </c>
      <c r="BI72" s="90">
        <f t="shared" si="23"/>
        <v>0</v>
      </c>
      <c r="BJ72" s="99"/>
      <c r="BK72" s="88">
        <f t="shared" si="24"/>
        <v>0</v>
      </c>
      <c r="BL72" s="100"/>
      <c r="BM72" s="101"/>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row>
    <row r="73" spans="2:150" s="87" customFormat="1" ht="15" hidden="1" outlineLevel="1" thickBot="1" x14ac:dyDescent="0.35">
      <c r="B73" s="197" t="s">
        <v>221</v>
      </c>
      <c r="C73" s="87">
        <v>8</v>
      </c>
      <c r="D73" s="87" t="str">
        <f t="shared" si="31"/>
        <v>068</v>
      </c>
      <c r="F73" s="13" t="s">
        <v>46</v>
      </c>
      <c r="G73" s="12"/>
      <c r="H73" s="88">
        <f t="shared" si="136"/>
        <v>0</v>
      </c>
      <c r="I73" s="88">
        <f t="shared" si="137"/>
        <v>0</v>
      </c>
      <c r="J73" s="88">
        <f t="shared" si="11"/>
        <v>0</v>
      </c>
      <c r="K73" s="90">
        <f t="shared" si="12"/>
        <v>0</v>
      </c>
      <c r="L73" s="88">
        <f t="shared" si="101"/>
        <v>0</v>
      </c>
      <c r="M73" s="88">
        <f t="shared" si="13"/>
        <v>0</v>
      </c>
      <c r="N73" s="90">
        <f t="shared" si="14"/>
        <v>0</v>
      </c>
      <c r="O73" s="88">
        <f t="shared" si="15"/>
        <v>0</v>
      </c>
      <c r="P73" s="88">
        <f t="shared" si="16"/>
        <v>0</v>
      </c>
      <c r="Q73" s="90">
        <f t="shared" si="17"/>
        <v>0</v>
      </c>
      <c r="R73" s="98"/>
      <c r="S73" s="82"/>
      <c r="T73" s="82"/>
      <c r="U73" s="82"/>
      <c r="V73" s="82"/>
      <c r="W73" s="82"/>
      <c r="X73" s="82"/>
      <c r="Y73" s="82"/>
      <c r="Z73" s="82"/>
      <c r="AA73" s="82"/>
      <c r="AB73" s="82"/>
      <c r="AC73" s="82"/>
      <c r="AD73" s="82"/>
      <c r="AE73" s="82">
        <v>0</v>
      </c>
      <c r="AF73" s="88">
        <f>SUMIF('2022 Budget Expenses Model'!$C:$C,'Summary by Department &amp; Categor'!$D73,'2022 Budget Expenses Model'!I:I)</f>
        <v>0</v>
      </c>
      <c r="AG73" s="88">
        <f>SUMIF('2022 Budget Expenses Model'!$C:$C,'Summary by Department &amp; Categor'!$D73,'2022 Budget Expenses Model'!J:J)</f>
        <v>0</v>
      </c>
      <c r="AH73" s="88">
        <f>SUMIF('2022 Budget Expenses Model'!$C:$C,'Summary by Department &amp; Categor'!$D73,'2022 Budget Expenses Model'!K:K)</f>
        <v>0</v>
      </c>
      <c r="AI73" s="88">
        <f>SUMIF('2022 Budget Expenses Model'!$C:$C,'Summary by Department &amp; Categor'!$D73,'2022 Budget Expenses Model'!L:L)</f>
        <v>0</v>
      </c>
      <c r="AJ73" s="88">
        <f>SUMIF('2022 Budget Expenses Model'!$C:$C,'Summary by Department &amp; Categor'!$D73,'2022 Budget Expenses Model'!M:M)</f>
        <v>0</v>
      </c>
      <c r="AK73" s="88">
        <f>SUMIF('2022 Budget Expenses Model'!$C:$C,'Summary by Department &amp; Categor'!$D73,'2022 Budget Expenses Model'!N:N)</f>
        <v>0</v>
      </c>
      <c r="AL73" s="88">
        <f>SUMIF('2022 Budget Expenses Model'!$C:$C,'Summary by Department &amp; Categor'!$D73,'2022 Budget Expenses Model'!O:O)</f>
        <v>0</v>
      </c>
      <c r="AM73" s="88">
        <f>SUMIF('2022 Budget Expenses Model'!$C:$C,'Summary by Department &amp; Categor'!$D73,'2022 Budget Expenses Model'!P:P)</f>
        <v>0</v>
      </c>
      <c r="AN73" s="88">
        <f>SUMIF('2022 Budget Expenses Model'!$C:$C,'Summary by Department &amp; Categor'!$D73,'2022 Budget Expenses Model'!Q:Q)</f>
        <v>0</v>
      </c>
      <c r="AO73" s="88">
        <f>SUMIF('2022 Budget Expenses Model'!$C:$C,'Summary by Department &amp; Categor'!$D73,'2022 Budget Expenses Model'!R:R)</f>
        <v>0</v>
      </c>
      <c r="AP73" s="88">
        <f>SUMIF('2022 Budget Expenses Model'!$C:$C,'Summary by Department &amp; Categor'!$D73,'2022 Budget Expenses Model'!S:S)</f>
        <v>0</v>
      </c>
      <c r="AQ73" s="88">
        <f>SUMIF('2022 Budget Expenses Model'!$C:$C,'Summary by Department &amp; Categor'!$D73,'2022 Budget Expenses Model'!T:T)</f>
        <v>0</v>
      </c>
      <c r="AR73" s="88">
        <f t="shared" si="18"/>
        <v>0</v>
      </c>
      <c r="AS73" s="88">
        <f t="shared" si="19"/>
        <v>0</v>
      </c>
      <c r="AT73" s="90">
        <f t="shared" si="20"/>
        <v>0</v>
      </c>
      <c r="AU73" s="82"/>
      <c r="AV73" s="82"/>
      <c r="AW73" s="82"/>
      <c r="AX73" s="82"/>
      <c r="AY73" s="82"/>
      <c r="AZ73" s="82"/>
      <c r="BA73" s="82"/>
      <c r="BB73" s="82"/>
      <c r="BC73" s="82"/>
      <c r="BD73" s="82"/>
      <c r="BE73" s="82"/>
      <c r="BF73" s="82"/>
      <c r="BG73" s="88">
        <f t="shared" si="21"/>
        <v>0</v>
      </c>
      <c r="BH73" s="88">
        <f t="shared" si="22"/>
        <v>0</v>
      </c>
      <c r="BI73" s="90">
        <f t="shared" si="23"/>
        <v>0</v>
      </c>
      <c r="BJ73" s="99"/>
      <c r="BK73" s="88">
        <f t="shared" si="24"/>
        <v>0</v>
      </c>
      <c r="BL73" s="100"/>
      <c r="BM73" s="101"/>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row>
    <row r="74" spans="2:150" s="87" customFormat="1" ht="15" collapsed="1" thickBot="1" x14ac:dyDescent="0.35">
      <c r="F74" s="11" t="s">
        <v>441</v>
      </c>
      <c r="G74" s="12"/>
      <c r="H74" s="82">
        <f t="shared" si="136"/>
        <v>0</v>
      </c>
      <c r="I74" s="82">
        <f t="shared" si="137"/>
        <v>5125</v>
      </c>
      <c r="J74" s="82">
        <f t="shared" si="11"/>
        <v>-5125</v>
      </c>
      <c r="K74" s="83">
        <f t="shared" si="12"/>
        <v>-1</v>
      </c>
      <c r="L74" s="82">
        <f t="shared" si="101"/>
        <v>0</v>
      </c>
      <c r="M74" s="82">
        <f t="shared" si="13"/>
        <v>0</v>
      </c>
      <c r="N74" s="83">
        <f t="shared" si="14"/>
        <v>0</v>
      </c>
      <c r="O74" s="82">
        <f t="shared" si="15"/>
        <v>0</v>
      </c>
      <c r="P74" s="82">
        <f t="shared" si="16"/>
        <v>0</v>
      </c>
      <c r="Q74" s="83">
        <f t="shared" si="17"/>
        <v>0</v>
      </c>
      <c r="R74" s="98"/>
      <c r="S74" s="82">
        <f>SUM(S75:S82)</f>
        <v>0</v>
      </c>
      <c r="T74" s="82">
        <f t="shared" ref="T74" si="206">SUM(T75:T82)</f>
        <v>0</v>
      </c>
      <c r="U74" s="82">
        <f t="shared" ref="U74" si="207">SUM(U75:U82)</f>
        <v>0</v>
      </c>
      <c r="V74" s="82">
        <f t="shared" ref="V74" si="208">SUM(V75:V82)</f>
        <v>0</v>
      </c>
      <c r="W74" s="82">
        <f t="shared" ref="W74" si="209">SUM(W75:W82)</f>
        <v>0</v>
      </c>
      <c r="X74" s="82">
        <f t="shared" ref="X74" si="210">SUM(X75:X82)</f>
        <v>0</v>
      </c>
      <c r="Y74" s="82">
        <f t="shared" ref="Y74" si="211">SUM(Y75:Y82)</f>
        <v>0</v>
      </c>
      <c r="Z74" s="82">
        <f t="shared" ref="Z74" si="212">SUM(Z75:Z82)</f>
        <v>0</v>
      </c>
      <c r="AA74" s="82">
        <f t="shared" ref="AA74" si="213">SUM(AA75:AA82)</f>
        <v>0</v>
      </c>
      <c r="AB74" s="82">
        <f t="shared" ref="AB74" si="214">SUM(AB75:AB82)</f>
        <v>0</v>
      </c>
      <c r="AC74" s="82">
        <f t="shared" ref="AC74" si="215">SUM(AC75:AC82)</f>
        <v>0</v>
      </c>
      <c r="AD74" s="82">
        <f t="shared" ref="AD74" si="216">SUM(AD75:AD82)</f>
        <v>0</v>
      </c>
      <c r="AE74" s="82">
        <v>38083.43</v>
      </c>
      <c r="AF74" s="82">
        <f>SUM(AF75:AF82)</f>
        <v>2125</v>
      </c>
      <c r="AG74" s="82">
        <f t="shared" ref="AG74" si="217">SUM(AG75:AG82)</f>
        <v>2125</v>
      </c>
      <c r="AH74" s="82">
        <f t="shared" ref="AH74" si="218">SUM(AH75:AH82)</f>
        <v>12125</v>
      </c>
      <c r="AI74" s="82">
        <f t="shared" ref="AI74" si="219">SUM(AI75:AI82)</f>
        <v>2125</v>
      </c>
      <c r="AJ74" s="82">
        <f t="shared" ref="AJ74" si="220">SUM(AJ75:AJ82)</f>
        <v>4125</v>
      </c>
      <c r="AK74" s="82">
        <f t="shared" ref="AK74" si="221">SUM(AK75:AK82)</f>
        <v>4125</v>
      </c>
      <c r="AL74" s="82">
        <f t="shared" ref="AL74" si="222">SUM(AL75:AL82)</f>
        <v>4125</v>
      </c>
      <c r="AM74" s="82">
        <f t="shared" ref="AM74" si="223">SUM(AM75:AM82)</f>
        <v>4125</v>
      </c>
      <c r="AN74" s="82">
        <f t="shared" ref="AN74" si="224">SUM(AN75:AN82)</f>
        <v>5125</v>
      </c>
      <c r="AO74" s="82">
        <f t="shared" ref="AO74" si="225">SUM(AO75:AO82)</f>
        <v>5125</v>
      </c>
      <c r="AP74" s="82">
        <f t="shared" ref="AP74" si="226">SUM(AP75:AP82)</f>
        <v>15125</v>
      </c>
      <c r="AQ74" s="82">
        <f t="shared" ref="AQ74" si="227">SUM(AQ75:AQ82)</f>
        <v>5125</v>
      </c>
      <c r="AR74" s="82">
        <f t="shared" si="18"/>
        <v>65500</v>
      </c>
      <c r="AS74" s="82">
        <f t="shared" si="19"/>
        <v>-27416.57</v>
      </c>
      <c r="AT74" s="83">
        <f t="shared" si="20"/>
        <v>-0.41857358778625953</v>
      </c>
      <c r="AU74" s="82">
        <f>SUM(AU75:AU82)</f>
        <v>0</v>
      </c>
      <c r="AV74" s="82">
        <f t="shared" ref="AV74" si="228">SUM(AV75:AV82)</f>
        <v>0</v>
      </c>
      <c r="AW74" s="82">
        <f t="shared" ref="AW74" si="229">SUM(AW75:AW82)</f>
        <v>0</v>
      </c>
      <c r="AX74" s="82">
        <f t="shared" ref="AX74" si="230">SUM(AX75:AX82)</f>
        <v>0</v>
      </c>
      <c r="AY74" s="82">
        <f t="shared" ref="AY74" si="231">SUM(AY75:AY82)</f>
        <v>0</v>
      </c>
      <c r="AZ74" s="82">
        <f t="shared" ref="AZ74" si="232">SUM(AZ75:AZ82)</f>
        <v>0</v>
      </c>
      <c r="BA74" s="82">
        <f t="shared" ref="BA74" si="233">SUM(BA75:BA82)</f>
        <v>0</v>
      </c>
      <c r="BB74" s="82">
        <f t="shared" ref="BB74" si="234">SUM(BB75:BB82)</f>
        <v>0</v>
      </c>
      <c r="BC74" s="82">
        <f t="shared" ref="BC74" si="235">SUM(BC75:BC82)</f>
        <v>0</v>
      </c>
      <c r="BD74" s="82">
        <f t="shared" ref="BD74" si="236">SUM(BD75:BD82)</f>
        <v>0</v>
      </c>
      <c r="BE74" s="82">
        <f t="shared" ref="BE74" si="237">SUM(BE75:BE82)</f>
        <v>0</v>
      </c>
      <c r="BF74" s="82">
        <f t="shared" ref="BF74" si="238">SUM(BF75:BF82)</f>
        <v>0</v>
      </c>
      <c r="BG74" s="82">
        <f t="shared" si="21"/>
        <v>0</v>
      </c>
      <c r="BH74" s="82">
        <f t="shared" si="22"/>
        <v>38083.43</v>
      </c>
      <c r="BI74" s="83">
        <f t="shared" si="23"/>
        <v>0</v>
      </c>
      <c r="BJ74" s="99"/>
      <c r="BK74" s="82">
        <f t="shared" ref="BK74" si="239">SUM(BK75:BK82)</f>
        <v>65500</v>
      </c>
      <c r="BL74" s="100"/>
      <c r="BM74" s="101"/>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row>
    <row r="75" spans="2:150" s="87" customFormat="1" ht="15" hidden="1" outlineLevel="1" thickBot="1" x14ac:dyDescent="0.35">
      <c r="B75" s="197" t="s">
        <v>222</v>
      </c>
      <c r="C75" s="87">
        <v>2</v>
      </c>
      <c r="D75" s="87" t="str">
        <f t="shared" si="31"/>
        <v>072</v>
      </c>
      <c r="F75" s="13" t="s">
        <v>233</v>
      </c>
      <c r="G75" s="12"/>
      <c r="H75" s="88">
        <f t="shared" si="136"/>
        <v>0</v>
      </c>
      <c r="I75" s="88">
        <f t="shared" si="137"/>
        <v>5000</v>
      </c>
      <c r="J75" s="88">
        <f t="shared" si="11"/>
        <v>-5000</v>
      </c>
      <c r="K75" s="90">
        <f t="shared" si="12"/>
        <v>-1</v>
      </c>
      <c r="L75" s="88">
        <f t="shared" si="101"/>
        <v>0</v>
      </c>
      <c r="M75" s="88">
        <f t="shared" si="13"/>
        <v>0</v>
      </c>
      <c r="N75" s="90">
        <f t="shared" si="14"/>
        <v>0</v>
      </c>
      <c r="O75" s="88">
        <f t="shared" si="15"/>
        <v>0</v>
      </c>
      <c r="P75" s="88">
        <f t="shared" si="16"/>
        <v>0</v>
      </c>
      <c r="Q75" s="90">
        <f t="shared" si="17"/>
        <v>0</v>
      </c>
      <c r="R75" s="98"/>
      <c r="S75" s="82"/>
      <c r="T75" s="82"/>
      <c r="U75" s="82"/>
      <c r="V75" s="82"/>
      <c r="W75" s="82"/>
      <c r="X75" s="82"/>
      <c r="Y75" s="82"/>
      <c r="Z75" s="82"/>
      <c r="AA75" s="82"/>
      <c r="AB75" s="82"/>
      <c r="AC75" s="82"/>
      <c r="AD75" s="82"/>
      <c r="AE75" s="82">
        <v>23193</v>
      </c>
      <c r="AF75" s="88">
        <f>SUMIF('2022 Budget Expenses Model'!$C:$C,'Summary by Department &amp; Categor'!$D75,'2022 Budget Expenses Model'!I:I)</f>
        <v>2000</v>
      </c>
      <c r="AG75" s="88">
        <f>SUMIF('2022 Budget Expenses Model'!$C:$C,'Summary by Department &amp; Categor'!$D75,'2022 Budget Expenses Model'!J:J)</f>
        <v>2000</v>
      </c>
      <c r="AH75" s="88">
        <f>SUMIF('2022 Budget Expenses Model'!$C:$C,'Summary by Department &amp; Categor'!$D75,'2022 Budget Expenses Model'!K:K)</f>
        <v>2000</v>
      </c>
      <c r="AI75" s="88">
        <f>SUMIF('2022 Budget Expenses Model'!$C:$C,'Summary by Department &amp; Categor'!$D75,'2022 Budget Expenses Model'!L:L)</f>
        <v>2000</v>
      </c>
      <c r="AJ75" s="88">
        <f>SUMIF('2022 Budget Expenses Model'!$C:$C,'Summary by Department &amp; Categor'!$D75,'2022 Budget Expenses Model'!M:M)</f>
        <v>4000</v>
      </c>
      <c r="AK75" s="88">
        <f>SUMIF('2022 Budget Expenses Model'!$C:$C,'Summary by Department &amp; Categor'!$D75,'2022 Budget Expenses Model'!N:N)</f>
        <v>4000</v>
      </c>
      <c r="AL75" s="88">
        <f>SUMIF('2022 Budget Expenses Model'!$C:$C,'Summary by Department &amp; Categor'!$D75,'2022 Budget Expenses Model'!O:O)</f>
        <v>4000</v>
      </c>
      <c r="AM75" s="88">
        <f>SUMIF('2022 Budget Expenses Model'!$C:$C,'Summary by Department &amp; Categor'!$D75,'2022 Budget Expenses Model'!P:P)</f>
        <v>4000</v>
      </c>
      <c r="AN75" s="88">
        <f>SUMIF('2022 Budget Expenses Model'!$C:$C,'Summary by Department &amp; Categor'!$D75,'2022 Budget Expenses Model'!Q:Q)</f>
        <v>5000</v>
      </c>
      <c r="AO75" s="88">
        <f>SUMIF('2022 Budget Expenses Model'!$C:$C,'Summary by Department &amp; Categor'!$D75,'2022 Budget Expenses Model'!R:R)</f>
        <v>5000</v>
      </c>
      <c r="AP75" s="88">
        <f>SUMIF('2022 Budget Expenses Model'!$C:$C,'Summary by Department &amp; Categor'!$D75,'2022 Budget Expenses Model'!S:S)</f>
        <v>5000</v>
      </c>
      <c r="AQ75" s="88">
        <f>SUMIF('2022 Budget Expenses Model'!$C:$C,'Summary by Department &amp; Categor'!$D75,'2022 Budget Expenses Model'!T:T)</f>
        <v>5000</v>
      </c>
      <c r="AR75" s="88">
        <f t="shared" si="18"/>
        <v>44000</v>
      </c>
      <c r="AS75" s="88">
        <f t="shared" si="19"/>
        <v>-20807</v>
      </c>
      <c r="AT75" s="90">
        <f t="shared" si="20"/>
        <v>-0.47288636363636366</v>
      </c>
      <c r="AU75" s="82"/>
      <c r="AV75" s="82"/>
      <c r="AW75" s="82"/>
      <c r="AX75" s="82"/>
      <c r="AY75" s="82"/>
      <c r="AZ75" s="82"/>
      <c r="BA75" s="82"/>
      <c r="BB75" s="82"/>
      <c r="BC75" s="82"/>
      <c r="BD75" s="82"/>
      <c r="BE75" s="82"/>
      <c r="BF75" s="82"/>
      <c r="BG75" s="88">
        <f t="shared" si="21"/>
        <v>0</v>
      </c>
      <c r="BH75" s="88">
        <f t="shared" si="22"/>
        <v>23193</v>
      </c>
      <c r="BI75" s="90">
        <f t="shared" si="23"/>
        <v>0</v>
      </c>
      <c r="BJ75" s="99"/>
      <c r="BK75" s="88">
        <f t="shared" si="24"/>
        <v>44000</v>
      </c>
      <c r="BL75" s="100"/>
      <c r="BM75" s="101"/>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row>
    <row r="76" spans="2:150" s="87" customFormat="1" ht="15" hidden="1" outlineLevel="1" thickBot="1" x14ac:dyDescent="0.35">
      <c r="B76" s="197" t="s">
        <v>222</v>
      </c>
      <c r="C76" s="87">
        <v>1</v>
      </c>
      <c r="D76" s="87" t="str">
        <f t="shared" si="31"/>
        <v>071</v>
      </c>
      <c r="F76" s="13" t="s">
        <v>440</v>
      </c>
      <c r="G76" s="12"/>
      <c r="H76" s="88">
        <f t="shared" si="136"/>
        <v>0</v>
      </c>
      <c r="I76" s="88">
        <f t="shared" si="137"/>
        <v>0</v>
      </c>
      <c r="J76" s="88">
        <f t="shared" si="11"/>
        <v>0</v>
      </c>
      <c r="K76" s="90">
        <f t="shared" si="12"/>
        <v>0</v>
      </c>
      <c r="L76" s="88">
        <f t="shared" si="101"/>
        <v>0</v>
      </c>
      <c r="M76" s="88">
        <f t="shared" si="13"/>
        <v>0</v>
      </c>
      <c r="N76" s="90">
        <f t="shared" si="14"/>
        <v>0</v>
      </c>
      <c r="O76" s="88">
        <f t="shared" si="15"/>
        <v>0</v>
      </c>
      <c r="P76" s="88">
        <f t="shared" si="16"/>
        <v>0</v>
      </c>
      <c r="Q76" s="90">
        <f t="shared" si="17"/>
        <v>0</v>
      </c>
      <c r="R76" s="98"/>
      <c r="S76" s="82"/>
      <c r="T76" s="82"/>
      <c r="U76" s="82"/>
      <c r="V76" s="82"/>
      <c r="W76" s="82"/>
      <c r="X76" s="82"/>
      <c r="Y76" s="82"/>
      <c r="Z76" s="82"/>
      <c r="AA76" s="82"/>
      <c r="AB76" s="82"/>
      <c r="AC76" s="82"/>
      <c r="AD76" s="82"/>
      <c r="AE76" s="82">
        <v>0</v>
      </c>
      <c r="AF76" s="88">
        <f>SUMIF('2022 Budget Expenses Model'!$C:$C,'Summary by Department &amp; Categor'!$D76,'2022 Budget Expenses Model'!I:I)</f>
        <v>0</v>
      </c>
      <c r="AG76" s="88">
        <f>SUMIF('2022 Budget Expenses Model'!$C:$C,'Summary by Department &amp; Categor'!$D76,'2022 Budget Expenses Model'!J:J)</f>
        <v>0</v>
      </c>
      <c r="AH76" s="88">
        <f>SUMIF('2022 Budget Expenses Model'!$C:$C,'Summary by Department &amp; Categor'!$D76,'2022 Budget Expenses Model'!K:K)</f>
        <v>0</v>
      </c>
      <c r="AI76" s="88">
        <f>SUMIF('2022 Budget Expenses Model'!$C:$C,'Summary by Department &amp; Categor'!$D76,'2022 Budget Expenses Model'!L:L)</f>
        <v>0</v>
      </c>
      <c r="AJ76" s="88">
        <f>SUMIF('2022 Budget Expenses Model'!$C:$C,'Summary by Department &amp; Categor'!$D76,'2022 Budget Expenses Model'!M:M)</f>
        <v>0</v>
      </c>
      <c r="AK76" s="88">
        <f>SUMIF('2022 Budget Expenses Model'!$C:$C,'Summary by Department &amp; Categor'!$D76,'2022 Budget Expenses Model'!N:N)</f>
        <v>0</v>
      </c>
      <c r="AL76" s="88">
        <f>SUMIF('2022 Budget Expenses Model'!$C:$C,'Summary by Department &amp; Categor'!$D76,'2022 Budget Expenses Model'!O:O)</f>
        <v>0</v>
      </c>
      <c r="AM76" s="88">
        <f>SUMIF('2022 Budget Expenses Model'!$C:$C,'Summary by Department &amp; Categor'!$D76,'2022 Budget Expenses Model'!P:P)</f>
        <v>0</v>
      </c>
      <c r="AN76" s="88">
        <f>SUMIF('2022 Budget Expenses Model'!$C:$C,'Summary by Department &amp; Categor'!$D76,'2022 Budget Expenses Model'!Q:Q)</f>
        <v>0</v>
      </c>
      <c r="AO76" s="88">
        <f>SUMIF('2022 Budget Expenses Model'!$C:$C,'Summary by Department &amp; Categor'!$D76,'2022 Budget Expenses Model'!R:R)</f>
        <v>0</v>
      </c>
      <c r="AP76" s="88">
        <f>SUMIF('2022 Budget Expenses Model'!$C:$C,'Summary by Department &amp; Categor'!$D76,'2022 Budget Expenses Model'!S:S)</f>
        <v>0</v>
      </c>
      <c r="AQ76" s="88">
        <f>SUMIF('2022 Budget Expenses Model'!$C:$C,'Summary by Department &amp; Categor'!$D76,'2022 Budget Expenses Model'!T:T)</f>
        <v>0</v>
      </c>
      <c r="AR76" s="88">
        <f t="shared" si="18"/>
        <v>0</v>
      </c>
      <c r="AS76" s="88">
        <f t="shared" si="19"/>
        <v>0</v>
      </c>
      <c r="AT76" s="90">
        <f t="shared" si="20"/>
        <v>0</v>
      </c>
      <c r="AU76" s="82"/>
      <c r="AV76" s="82"/>
      <c r="AW76" s="82"/>
      <c r="AX76" s="82"/>
      <c r="AY76" s="82"/>
      <c r="AZ76" s="82"/>
      <c r="BA76" s="82"/>
      <c r="BB76" s="82"/>
      <c r="BC76" s="82"/>
      <c r="BD76" s="82"/>
      <c r="BE76" s="82"/>
      <c r="BF76" s="82"/>
      <c r="BG76" s="88">
        <f t="shared" si="21"/>
        <v>0</v>
      </c>
      <c r="BH76" s="88">
        <f t="shared" si="22"/>
        <v>0</v>
      </c>
      <c r="BI76" s="90">
        <f t="shared" si="23"/>
        <v>0</v>
      </c>
      <c r="BJ76" s="99"/>
      <c r="BK76" s="88">
        <f t="shared" si="24"/>
        <v>0</v>
      </c>
      <c r="BL76" s="100"/>
      <c r="BM76" s="101"/>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row>
    <row r="77" spans="2:150" s="87" customFormat="1" ht="15" hidden="1" outlineLevel="1" thickBot="1" x14ac:dyDescent="0.35">
      <c r="B77" s="197" t="s">
        <v>222</v>
      </c>
      <c r="C77" s="87">
        <v>3</v>
      </c>
      <c r="D77" s="87" t="str">
        <f t="shared" si="31"/>
        <v>073</v>
      </c>
      <c r="F77" s="13" t="s">
        <v>238</v>
      </c>
      <c r="G77" s="12"/>
      <c r="H77" s="88">
        <f t="shared" si="136"/>
        <v>0</v>
      </c>
      <c r="I77" s="88">
        <f t="shared" si="137"/>
        <v>125</v>
      </c>
      <c r="J77" s="88">
        <f t="shared" si="11"/>
        <v>-125</v>
      </c>
      <c r="K77" s="90">
        <f t="shared" si="12"/>
        <v>-1</v>
      </c>
      <c r="L77" s="88">
        <f t="shared" ref="L77:L83" si="240">INDEX($S77:$AD77,MATCH($L$9,$S$9:$AD$9,0))</f>
        <v>0</v>
      </c>
      <c r="M77" s="88">
        <f t="shared" si="13"/>
        <v>0</v>
      </c>
      <c r="N77" s="90">
        <f t="shared" si="14"/>
        <v>0</v>
      </c>
      <c r="O77" s="88">
        <f t="shared" si="15"/>
        <v>0</v>
      </c>
      <c r="P77" s="88">
        <f t="shared" si="16"/>
        <v>0</v>
      </c>
      <c r="Q77" s="90">
        <f t="shared" si="17"/>
        <v>0</v>
      </c>
      <c r="R77" s="98"/>
      <c r="S77" s="82"/>
      <c r="T77" s="82"/>
      <c r="U77" s="82"/>
      <c r="V77" s="82"/>
      <c r="W77" s="82"/>
      <c r="X77" s="82"/>
      <c r="Y77" s="82"/>
      <c r="Z77" s="82"/>
      <c r="AA77" s="82"/>
      <c r="AB77" s="82"/>
      <c r="AC77" s="82"/>
      <c r="AD77" s="82"/>
      <c r="AE77" s="82">
        <v>4701.43</v>
      </c>
      <c r="AF77" s="88">
        <f>SUMIF('2022 Budget Expenses Model'!$C:$C,'Summary by Department &amp; Categor'!$D77,'2022 Budget Expenses Model'!I:I)</f>
        <v>125</v>
      </c>
      <c r="AG77" s="88">
        <f>SUMIF('2022 Budget Expenses Model'!$C:$C,'Summary by Department &amp; Categor'!$D77,'2022 Budget Expenses Model'!J:J)</f>
        <v>125</v>
      </c>
      <c r="AH77" s="88">
        <f>SUMIF('2022 Budget Expenses Model'!$C:$C,'Summary by Department &amp; Categor'!$D77,'2022 Budget Expenses Model'!K:K)</f>
        <v>125</v>
      </c>
      <c r="AI77" s="88">
        <f>SUMIF('2022 Budget Expenses Model'!$C:$C,'Summary by Department &amp; Categor'!$D77,'2022 Budget Expenses Model'!L:L)</f>
        <v>125</v>
      </c>
      <c r="AJ77" s="88">
        <f>SUMIF('2022 Budget Expenses Model'!$C:$C,'Summary by Department &amp; Categor'!$D77,'2022 Budget Expenses Model'!M:M)</f>
        <v>125</v>
      </c>
      <c r="AK77" s="88">
        <f>SUMIF('2022 Budget Expenses Model'!$C:$C,'Summary by Department &amp; Categor'!$D77,'2022 Budget Expenses Model'!N:N)</f>
        <v>125</v>
      </c>
      <c r="AL77" s="88">
        <f>SUMIF('2022 Budget Expenses Model'!$C:$C,'Summary by Department &amp; Categor'!$D77,'2022 Budget Expenses Model'!O:O)</f>
        <v>125</v>
      </c>
      <c r="AM77" s="88">
        <f>SUMIF('2022 Budget Expenses Model'!$C:$C,'Summary by Department &amp; Categor'!$D77,'2022 Budget Expenses Model'!P:P)</f>
        <v>125</v>
      </c>
      <c r="AN77" s="88">
        <f>SUMIF('2022 Budget Expenses Model'!$C:$C,'Summary by Department &amp; Categor'!$D77,'2022 Budget Expenses Model'!Q:Q)</f>
        <v>125</v>
      </c>
      <c r="AO77" s="88">
        <f>SUMIF('2022 Budget Expenses Model'!$C:$C,'Summary by Department &amp; Categor'!$D77,'2022 Budget Expenses Model'!R:R)</f>
        <v>125</v>
      </c>
      <c r="AP77" s="88">
        <f>SUMIF('2022 Budget Expenses Model'!$C:$C,'Summary by Department &amp; Categor'!$D77,'2022 Budget Expenses Model'!S:S)</f>
        <v>125</v>
      </c>
      <c r="AQ77" s="88">
        <f>SUMIF('2022 Budget Expenses Model'!$C:$C,'Summary by Department &amp; Categor'!$D77,'2022 Budget Expenses Model'!T:T)</f>
        <v>125</v>
      </c>
      <c r="AR77" s="88">
        <f t="shared" si="18"/>
        <v>1500</v>
      </c>
      <c r="AS77" s="88">
        <f t="shared" si="19"/>
        <v>3201.4300000000003</v>
      </c>
      <c r="AT77" s="90">
        <f t="shared" si="20"/>
        <v>2.1342866666666667</v>
      </c>
      <c r="AU77" s="82"/>
      <c r="AV77" s="82"/>
      <c r="AW77" s="82"/>
      <c r="AX77" s="82"/>
      <c r="AY77" s="82"/>
      <c r="AZ77" s="82"/>
      <c r="BA77" s="82"/>
      <c r="BB77" s="82"/>
      <c r="BC77" s="82"/>
      <c r="BD77" s="82"/>
      <c r="BE77" s="82"/>
      <c r="BF77" s="82"/>
      <c r="BG77" s="88">
        <f t="shared" si="21"/>
        <v>0</v>
      </c>
      <c r="BH77" s="88">
        <f t="shared" si="22"/>
        <v>4701.43</v>
      </c>
      <c r="BI77" s="90">
        <f t="shared" si="23"/>
        <v>0</v>
      </c>
      <c r="BJ77" s="99"/>
      <c r="BK77" s="88">
        <f t="shared" si="24"/>
        <v>1500</v>
      </c>
      <c r="BL77" s="100"/>
      <c r="BM77" s="101"/>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row>
    <row r="78" spans="2:150" s="87" customFormat="1" ht="15" hidden="1" outlineLevel="1" thickBot="1" x14ac:dyDescent="0.35">
      <c r="B78" s="197" t="s">
        <v>222</v>
      </c>
      <c r="C78" s="87">
        <v>4</v>
      </c>
      <c r="D78" s="87" t="str">
        <f t="shared" si="31"/>
        <v>074</v>
      </c>
      <c r="F78" s="13" t="s">
        <v>244</v>
      </c>
      <c r="G78" s="12"/>
      <c r="H78" s="88">
        <f t="shared" ref="H78:H91" si="241">INDEX($S78:$AD78,MATCH($H$9,$S$9:$AD$9,0))</f>
        <v>0</v>
      </c>
      <c r="I78" s="88">
        <f t="shared" ref="I78:I97" si="242">INDEX($AF78:$AQ78,MATCH($I$9,$AF$9:$AQ$9,0))</f>
        <v>0</v>
      </c>
      <c r="J78" s="88">
        <f t="shared" ref="J78:J83" si="243">H78-I78</f>
        <v>0</v>
      </c>
      <c r="K78" s="90">
        <f t="shared" ref="K78:K83" si="244">IFERROR(J78/I78,0)</f>
        <v>0</v>
      </c>
      <c r="L78" s="88">
        <f t="shared" si="240"/>
        <v>0</v>
      </c>
      <c r="M78" s="88">
        <f t="shared" ref="M78:M83" si="245">H78-L78</f>
        <v>0</v>
      </c>
      <c r="N78" s="90">
        <f t="shared" ref="N78:N83" si="246">IFERROR(M78/L78,0)</f>
        <v>0</v>
      </c>
      <c r="O78" s="88">
        <f t="shared" ref="O78:O108" si="247">INDEX($AU78:$BF78,MATCH($O$9,$AU$9:$BF$9,0))</f>
        <v>0</v>
      </c>
      <c r="P78" s="88">
        <f t="shared" ref="P78:P83" si="248">H78-O78</f>
        <v>0</v>
      </c>
      <c r="Q78" s="90">
        <f t="shared" ref="Q78:Q83" si="249">IFERROR(P78/O78,0)</f>
        <v>0</v>
      </c>
      <c r="R78" s="98"/>
      <c r="S78" s="82"/>
      <c r="T78" s="82"/>
      <c r="U78" s="82"/>
      <c r="V78" s="82"/>
      <c r="W78" s="82"/>
      <c r="X78" s="82"/>
      <c r="Y78" s="82"/>
      <c r="Z78" s="82"/>
      <c r="AA78" s="82"/>
      <c r="AB78" s="82"/>
      <c r="AC78" s="82"/>
      <c r="AD78" s="82"/>
      <c r="AE78" s="82">
        <v>0</v>
      </c>
      <c r="AF78" s="88">
        <f>SUMIF('2022 Budget Expenses Model'!$C:$C,'Summary by Department &amp; Categor'!$D78,'2022 Budget Expenses Model'!I:I)</f>
        <v>0</v>
      </c>
      <c r="AG78" s="88">
        <f>SUMIF('2022 Budget Expenses Model'!$C:$C,'Summary by Department &amp; Categor'!$D78,'2022 Budget Expenses Model'!J:J)</f>
        <v>0</v>
      </c>
      <c r="AH78" s="88">
        <f>SUMIF('2022 Budget Expenses Model'!$C:$C,'Summary by Department &amp; Categor'!$D78,'2022 Budget Expenses Model'!K:K)</f>
        <v>0</v>
      </c>
      <c r="AI78" s="88">
        <f>SUMIF('2022 Budget Expenses Model'!$C:$C,'Summary by Department &amp; Categor'!$D78,'2022 Budget Expenses Model'!L:L)</f>
        <v>0</v>
      </c>
      <c r="AJ78" s="88">
        <f>SUMIF('2022 Budget Expenses Model'!$C:$C,'Summary by Department &amp; Categor'!$D78,'2022 Budget Expenses Model'!M:M)</f>
        <v>0</v>
      </c>
      <c r="AK78" s="88">
        <f>SUMIF('2022 Budget Expenses Model'!$C:$C,'Summary by Department &amp; Categor'!$D78,'2022 Budget Expenses Model'!N:N)</f>
        <v>0</v>
      </c>
      <c r="AL78" s="88">
        <f>SUMIF('2022 Budget Expenses Model'!$C:$C,'Summary by Department &amp; Categor'!$D78,'2022 Budget Expenses Model'!O:O)</f>
        <v>0</v>
      </c>
      <c r="AM78" s="88">
        <f>SUMIF('2022 Budget Expenses Model'!$C:$C,'Summary by Department &amp; Categor'!$D78,'2022 Budget Expenses Model'!P:P)</f>
        <v>0</v>
      </c>
      <c r="AN78" s="88">
        <f>SUMIF('2022 Budget Expenses Model'!$C:$C,'Summary by Department &amp; Categor'!$D78,'2022 Budget Expenses Model'!Q:Q)</f>
        <v>0</v>
      </c>
      <c r="AO78" s="88">
        <f>SUMIF('2022 Budget Expenses Model'!$C:$C,'Summary by Department &amp; Categor'!$D78,'2022 Budget Expenses Model'!R:R)</f>
        <v>0</v>
      </c>
      <c r="AP78" s="88">
        <f>SUMIF('2022 Budget Expenses Model'!$C:$C,'Summary by Department &amp; Categor'!$D78,'2022 Budget Expenses Model'!S:S)</f>
        <v>0</v>
      </c>
      <c r="AQ78" s="88">
        <f>SUMIF('2022 Budget Expenses Model'!$C:$C,'Summary by Department &amp; Categor'!$D78,'2022 Budget Expenses Model'!T:T)</f>
        <v>0</v>
      </c>
      <c r="AR78" s="88">
        <f t="shared" ref="AR78:AR91" si="250">SUMIF($AF$8:$AQ$8,"yes",$AF78:$AQ78)</f>
        <v>0</v>
      </c>
      <c r="AS78" s="88">
        <f t="shared" ref="AS78:AS83" si="251">AE78-AR78</f>
        <v>0</v>
      </c>
      <c r="AT78" s="90">
        <f t="shared" ref="AT78:AT83" si="252">IFERROR(AS78/AR78,0)</f>
        <v>0</v>
      </c>
      <c r="AU78" s="82"/>
      <c r="AV78" s="82"/>
      <c r="AW78" s="82"/>
      <c r="AX78" s="82"/>
      <c r="AY78" s="82"/>
      <c r="AZ78" s="82"/>
      <c r="BA78" s="82"/>
      <c r="BB78" s="82"/>
      <c r="BC78" s="82"/>
      <c r="BD78" s="82"/>
      <c r="BE78" s="82"/>
      <c r="BF78" s="82"/>
      <c r="BG78" s="88">
        <f t="shared" ref="BG78:BG93" si="253">SUMIF($AU$8:$BF$8,"yes",$AU78:$BF78)</f>
        <v>0</v>
      </c>
      <c r="BH78" s="88">
        <f t="shared" ref="BH78:BH83" si="254">AE78-BG78</f>
        <v>0</v>
      </c>
      <c r="BI78" s="90">
        <f t="shared" ref="BI78:BI83" si="255">IFERROR(BH78/BG78,0)</f>
        <v>0</v>
      </c>
      <c r="BJ78" s="99"/>
      <c r="BK78" s="88">
        <f t="shared" si="24"/>
        <v>0</v>
      </c>
      <c r="BL78" s="100"/>
      <c r="BM78" s="101"/>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row>
    <row r="79" spans="2:150" s="87" customFormat="1" ht="15" hidden="1" outlineLevel="1" thickBot="1" x14ac:dyDescent="0.35">
      <c r="B79" s="197" t="s">
        <v>222</v>
      </c>
      <c r="C79" s="87">
        <v>5</v>
      </c>
      <c r="D79" s="87" t="str">
        <f t="shared" si="31"/>
        <v>075</v>
      </c>
      <c r="F79" s="13" t="s">
        <v>251</v>
      </c>
      <c r="G79" s="12"/>
      <c r="H79" s="88">
        <f t="shared" si="241"/>
        <v>0</v>
      </c>
      <c r="I79" s="88">
        <f t="shared" si="242"/>
        <v>0</v>
      </c>
      <c r="J79" s="88">
        <f t="shared" si="243"/>
        <v>0</v>
      </c>
      <c r="K79" s="90">
        <f t="shared" si="244"/>
        <v>0</v>
      </c>
      <c r="L79" s="88">
        <f t="shared" si="240"/>
        <v>0</v>
      </c>
      <c r="M79" s="88">
        <f t="shared" si="245"/>
        <v>0</v>
      </c>
      <c r="N79" s="90">
        <f t="shared" si="246"/>
        <v>0</v>
      </c>
      <c r="O79" s="88">
        <f t="shared" si="247"/>
        <v>0</v>
      </c>
      <c r="P79" s="88">
        <f t="shared" si="248"/>
        <v>0</v>
      </c>
      <c r="Q79" s="90">
        <f t="shared" si="249"/>
        <v>0</v>
      </c>
      <c r="R79" s="98"/>
      <c r="S79" s="82"/>
      <c r="T79" s="82"/>
      <c r="U79" s="82"/>
      <c r="V79" s="82"/>
      <c r="W79" s="82"/>
      <c r="X79" s="82"/>
      <c r="Y79" s="82"/>
      <c r="Z79" s="82"/>
      <c r="AA79" s="82"/>
      <c r="AB79" s="82"/>
      <c r="AC79" s="82"/>
      <c r="AD79" s="82"/>
      <c r="AE79" s="82">
        <v>0</v>
      </c>
      <c r="AF79" s="88">
        <f>SUMIF('2022 Budget Expenses Model'!$C:$C,'Summary by Department &amp; Categor'!$D79,'2022 Budget Expenses Model'!I:I)</f>
        <v>0</v>
      </c>
      <c r="AG79" s="88">
        <f>SUMIF('2022 Budget Expenses Model'!$C:$C,'Summary by Department &amp; Categor'!$D79,'2022 Budget Expenses Model'!J:J)</f>
        <v>0</v>
      </c>
      <c r="AH79" s="88">
        <f>SUMIF('2022 Budget Expenses Model'!$C:$C,'Summary by Department &amp; Categor'!$D79,'2022 Budget Expenses Model'!K:K)</f>
        <v>0</v>
      </c>
      <c r="AI79" s="88">
        <f>SUMIF('2022 Budget Expenses Model'!$C:$C,'Summary by Department &amp; Categor'!$D79,'2022 Budget Expenses Model'!L:L)</f>
        <v>0</v>
      </c>
      <c r="AJ79" s="88">
        <f>SUMIF('2022 Budget Expenses Model'!$C:$C,'Summary by Department &amp; Categor'!$D79,'2022 Budget Expenses Model'!M:M)</f>
        <v>0</v>
      </c>
      <c r="AK79" s="88">
        <f>SUMIF('2022 Budget Expenses Model'!$C:$C,'Summary by Department &amp; Categor'!$D79,'2022 Budget Expenses Model'!N:N)</f>
        <v>0</v>
      </c>
      <c r="AL79" s="88">
        <f>SUMIF('2022 Budget Expenses Model'!$C:$C,'Summary by Department &amp; Categor'!$D79,'2022 Budget Expenses Model'!O:O)</f>
        <v>0</v>
      </c>
      <c r="AM79" s="88">
        <f>SUMIF('2022 Budget Expenses Model'!$C:$C,'Summary by Department &amp; Categor'!$D79,'2022 Budget Expenses Model'!P:P)</f>
        <v>0</v>
      </c>
      <c r="AN79" s="88">
        <f>SUMIF('2022 Budget Expenses Model'!$C:$C,'Summary by Department &amp; Categor'!$D79,'2022 Budget Expenses Model'!Q:Q)</f>
        <v>0</v>
      </c>
      <c r="AO79" s="88">
        <f>SUMIF('2022 Budget Expenses Model'!$C:$C,'Summary by Department &amp; Categor'!$D79,'2022 Budget Expenses Model'!R:R)</f>
        <v>0</v>
      </c>
      <c r="AP79" s="88">
        <f>SUMIF('2022 Budget Expenses Model'!$C:$C,'Summary by Department &amp; Categor'!$D79,'2022 Budget Expenses Model'!S:S)</f>
        <v>0</v>
      </c>
      <c r="AQ79" s="88">
        <f>SUMIF('2022 Budget Expenses Model'!$C:$C,'Summary by Department &amp; Categor'!$D79,'2022 Budget Expenses Model'!T:T)</f>
        <v>0</v>
      </c>
      <c r="AR79" s="88">
        <f t="shared" si="250"/>
        <v>0</v>
      </c>
      <c r="AS79" s="88">
        <f t="shared" si="251"/>
        <v>0</v>
      </c>
      <c r="AT79" s="90">
        <f t="shared" si="252"/>
        <v>0</v>
      </c>
      <c r="AU79" s="82"/>
      <c r="AV79" s="82"/>
      <c r="AW79" s="82"/>
      <c r="AX79" s="82"/>
      <c r="AY79" s="82"/>
      <c r="AZ79" s="82"/>
      <c r="BA79" s="82"/>
      <c r="BB79" s="82"/>
      <c r="BC79" s="82"/>
      <c r="BD79" s="82"/>
      <c r="BE79" s="82"/>
      <c r="BF79" s="82"/>
      <c r="BG79" s="88">
        <f t="shared" si="253"/>
        <v>0</v>
      </c>
      <c r="BH79" s="88">
        <f t="shared" si="254"/>
        <v>0</v>
      </c>
      <c r="BI79" s="90">
        <f t="shared" si="255"/>
        <v>0</v>
      </c>
      <c r="BJ79" s="99"/>
      <c r="BK79" s="88">
        <f t="shared" ref="BK79:BK82" si="256">SUM(AF79:AQ79)</f>
        <v>0</v>
      </c>
      <c r="BL79" s="100"/>
      <c r="BM79" s="101"/>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row>
    <row r="80" spans="2:150" s="87" customFormat="1" ht="15" hidden="1" outlineLevel="1" thickBot="1" x14ac:dyDescent="0.35">
      <c r="B80" s="197" t="s">
        <v>222</v>
      </c>
      <c r="C80" s="87">
        <v>6</v>
      </c>
      <c r="D80" s="87" t="str">
        <f t="shared" si="31"/>
        <v>076</v>
      </c>
      <c r="F80" s="13" t="s">
        <v>31</v>
      </c>
      <c r="G80" s="12"/>
      <c r="H80" s="88">
        <f>INDEX($S80:$AD80,MATCH($H$9,$S$9:$AD$9,0))</f>
        <v>0</v>
      </c>
      <c r="I80" s="88">
        <f t="shared" si="242"/>
        <v>0</v>
      </c>
      <c r="J80" s="88">
        <f t="shared" si="243"/>
        <v>0</v>
      </c>
      <c r="K80" s="90">
        <f t="shared" si="244"/>
        <v>0</v>
      </c>
      <c r="L80" s="88">
        <f t="shared" si="240"/>
        <v>0</v>
      </c>
      <c r="M80" s="88">
        <f t="shared" si="245"/>
        <v>0</v>
      </c>
      <c r="N80" s="90">
        <f t="shared" si="246"/>
        <v>0</v>
      </c>
      <c r="O80" s="88">
        <f t="shared" si="247"/>
        <v>0</v>
      </c>
      <c r="P80" s="88">
        <f t="shared" si="248"/>
        <v>0</v>
      </c>
      <c r="Q80" s="90">
        <f t="shared" si="249"/>
        <v>0</v>
      </c>
      <c r="R80" s="98"/>
      <c r="S80" s="82"/>
      <c r="T80" s="82"/>
      <c r="U80" s="82"/>
      <c r="V80" s="82"/>
      <c r="W80" s="82"/>
      <c r="X80" s="82"/>
      <c r="Y80" s="82"/>
      <c r="Z80" s="82"/>
      <c r="AA80" s="82"/>
      <c r="AB80" s="82"/>
      <c r="AC80" s="82"/>
      <c r="AD80" s="82"/>
      <c r="AE80" s="82">
        <v>10189</v>
      </c>
      <c r="AF80" s="88">
        <f>SUMIF('2022 Budget Expenses Model'!$C:$C,'Summary by Department &amp; Categor'!$D80,'2022 Budget Expenses Model'!I:I)</f>
        <v>0</v>
      </c>
      <c r="AG80" s="88">
        <f>SUMIF('2022 Budget Expenses Model'!$C:$C,'Summary by Department &amp; Categor'!$D80,'2022 Budget Expenses Model'!J:J)</f>
        <v>0</v>
      </c>
      <c r="AH80" s="88">
        <f>SUMIF('2022 Budget Expenses Model'!$C:$C,'Summary by Department &amp; Categor'!$D80,'2022 Budget Expenses Model'!K:K)</f>
        <v>10000</v>
      </c>
      <c r="AI80" s="88">
        <f>SUMIF('2022 Budget Expenses Model'!$C:$C,'Summary by Department &amp; Categor'!$D80,'2022 Budget Expenses Model'!L:L)</f>
        <v>0</v>
      </c>
      <c r="AJ80" s="88">
        <f>SUMIF('2022 Budget Expenses Model'!$C:$C,'Summary by Department &amp; Categor'!$D80,'2022 Budget Expenses Model'!M:M)</f>
        <v>0</v>
      </c>
      <c r="AK80" s="88">
        <f>SUMIF('2022 Budget Expenses Model'!$C:$C,'Summary by Department &amp; Categor'!$D80,'2022 Budget Expenses Model'!N:N)</f>
        <v>0</v>
      </c>
      <c r="AL80" s="88">
        <f>SUMIF('2022 Budget Expenses Model'!$C:$C,'Summary by Department &amp; Categor'!$D80,'2022 Budget Expenses Model'!O:O)</f>
        <v>0</v>
      </c>
      <c r="AM80" s="88">
        <f>SUMIF('2022 Budget Expenses Model'!$C:$C,'Summary by Department &amp; Categor'!$D80,'2022 Budget Expenses Model'!P:P)</f>
        <v>0</v>
      </c>
      <c r="AN80" s="88">
        <f>SUMIF('2022 Budget Expenses Model'!$C:$C,'Summary by Department &amp; Categor'!$D80,'2022 Budget Expenses Model'!Q:Q)</f>
        <v>0</v>
      </c>
      <c r="AO80" s="88">
        <f>SUMIF('2022 Budget Expenses Model'!$C:$C,'Summary by Department &amp; Categor'!$D80,'2022 Budget Expenses Model'!R:R)</f>
        <v>0</v>
      </c>
      <c r="AP80" s="88">
        <f>SUMIF('2022 Budget Expenses Model'!$C:$C,'Summary by Department &amp; Categor'!$D80,'2022 Budget Expenses Model'!S:S)</f>
        <v>10000</v>
      </c>
      <c r="AQ80" s="88">
        <f>SUMIF('2022 Budget Expenses Model'!$C:$C,'Summary by Department &amp; Categor'!$D80,'2022 Budget Expenses Model'!T:T)</f>
        <v>0</v>
      </c>
      <c r="AR80" s="88">
        <f t="shared" si="250"/>
        <v>20000</v>
      </c>
      <c r="AS80" s="88">
        <f t="shared" si="251"/>
        <v>-9811</v>
      </c>
      <c r="AT80" s="90">
        <f t="shared" si="252"/>
        <v>-0.49054999999999999</v>
      </c>
      <c r="AU80" s="82"/>
      <c r="AV80" s="82"/>
      <c r="AW80" s="82"/>
      <c r="AX80" s="82"/>
      <c r="AY80" s="82"/>
      <c r="AZ80" s="82"/>
      <c r="BA80" s="82"/>
      <c r="BB80" s="82"/>
      <c r="BC80" s="82"/>
      <c r="BD80" s="82"/>
      <c r="BE80" s="82"/>
      <c r="BF80" s="82"/>
      <c r="BG80" s="88">
        <f t="shared" si="253"/>
        <v>0</v>
      </c>
      <c r="BH80" s="88">
        <f t="shared" si="254"/>
        <v>10189</v>
      </c>
      <c r="BI80" s="90">
        <f t="shared" si="255"/>
        <v>0</v>
      </c>
      <c r="BJ80" s="99"/>
      <c r="BK80" s="88">
        <f t="shared" si="256"/>
        <v>20000</v>
      </c>
      <c r="BL80" s="100"/>
      <c r="BM80" s="101"/>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row>
    <row r="81" spans="2:150" s="87" customFormat="1" ht="15" hidden="1" outlineLevel="1" thickBot="1" x14ac:dyDescent="0.35">
      <c r="B81" s="197" t="s">
        <v>222</v>
      </c>
      <c r="C81" s="87">
        <v>7</v>
      </c>
      <c r="D81" s="87" t="str">
        <f t="shared" si="31"/>
        <v>077</v>
      </c>
      <c r="F81" s="13" t="s">
        <v>256</v>
      </c>
      <c r="G81" s="12"/>
      <c r="H81" s="88">
        <f t="shared" si="241"/>
        <v>0</v>
      </c>
      <c r="I81" s="88">
        <f t="shared" si="242"/>
        <v>0</v>
      </c>
      <c r="J81" s="88">
        <f t="shared" si="243"/>
        <v>0</v>
      </c>
      <c r="K81" s="90">
        <f t="shared" si="244"/>
        <v>0</v>
      </c>
      <c r="L81" s="88">
        <f t="shared" si="240"/>
        <v>0</v>
      </c>
      <c r="M81" s="88">
        <f t="shared" si="245"/>
        <v>0</v>
      </c>
      <c r="N81" s="90">
        <f t="shared" si="246"/>
        <v>0</v>
      </c>
      <c r="O81" s="88">
        <f t="shared" si="247"/>
        <v>0</v>
      </c>
      <c r="P81" s="88">
        <f t="shared" si="248"/>
        <v>0</v>
      </c>
      <c r="Q81" s="90">
        <f t="shared" si="249"/>
        <v>0</v>
      </c>
      <c r="R81" s="98"/>
      <c r="S81" s="82"/>
      <c r="T81" s="82"/>
      <c r="U81" s="82"/>
      <c r="V81" s="82"/>
      <c r="W81" s="82"/>
      <c r="X81" s="82"/>
      <c r="Y81" s="82"/>
      <c r="Z81" s="82"/>
      <c r="AA81" s="82"/>
      <c r="AB81" s="82"/>
      <c r="AC81" s="82"/>
      <c r="AD81" s="82"/>
      <c r="AE81" s="82">
        <v>0</v>
      </c>
      <c r="AF81" s="88">
        <f>SUMIF('2022 Budget Expenses Model'!$C:$C,'Summary by Department &amp; Categor'!$D81,'2022 Budget Expenses Model'!I:I)</f>
        <v>0</v>
      </c>
      <c r="AG81" s="88">
        <f>SUMIF('2022 Budget Expenses Model'!$C:$C,'Summary by Department &amp; Categor'!$D81,'2022 Budget Expenses Model'!J:J)</f>
        <v>0</v>
      </c>
      <c r="AH81" s="88">
        <f>SUMIF('2022 Budget Expenses Model'!$C:$C,'Summary by Department &amp; Categor'!$D81,'2022 Budget Expenses Model'!K:K)</f>
        <v>0</v>
      </c>
      <c r="AI81" s="88">
        <f>SUMIF('2022 Budget Expenses Model'!$C:$C,'Summary by Department &amp; Categor'!$D81,'2022 Budget Expenses Model'!L:L)</f>
        <v>0</v>
      </c>
      <c r="AJ81" s="88">
        <f>SUMIF('2022 Budget Expenses Model'!$C:$C,'Summary by Department &amp; Categor'!$D81,'2022 Budget Expenses Model'!M:M)</f>
        <v>0</v>
      </c>
      <c r="AK81" s="88">
        <f>SUMIF('2022 Budget Expenses Model'!$C:$C,'Summary by Department &amp; Categor'!$D81,'2022 Budget Expenses Model'!N:N)</f>
        <v>0</v>
      </c>
      <c r="AL81" s="88">
        <f>SUMIF('2022 Budget Expenses Model'!$C:$C,'Summary by Department &amp; Categor'!$D81,'2022 Budget Expenses Model'!O:O)</f>
        <v>0</v>
      </c>
      <c r="AM81" s="88">
        <f>SUMIF('2022 Budget Expenses Model'!$C:$C,'Summary by Department &amp; Categor'!$D81,'2022 Budget Expenses Model'!P:P)</f>
        <v>0</v>
      </c>
      <c r="AN81" s="88">
        <f>SUMIF('2022 Budget Expenses Model'!$C:$C,'Summary by Department &amp; Categor'!$D81,'2022 Budget Expenses Model'!Q:Q)</f>
        <v>0</v>
      </c>
      <c r="AO81" s="88">
        <f>SUMIF('2022 Budget Expenses Model'!$C:$C,'Summary by Department &amp; Categor'!$D81,'2022 Budget Expenses Model'!R:R)</f>
        <v>0</v>
      </c>
      <c r="AP81" s="88">
        <f>SUMIF('2022 Budget Expenses Model'!$C:$C,'Summary by Department &amp; Categor'!$D81,'2022 Budget Expenses Model'!S:S)</f>
        <v>0</v>
      </c>
      <c r="AQ81" s="88">
        <f>SUMIF('2022 Budget Expenses Model'!$C:$C,'Summary by Department &amp; Categor'!$D81,'2022 Budget Expenses Model'!T:T)</f>
        <v>0</v>
      </c>
      <c r="AR81" s="88">
        <f t="shared" si="250"/>
        <v>0</v>
      </c>
      <c r="AS81" s="88">
        <f t="shared" si="251"/>
        <v>0</v>
      </c>
      <c r="AT81" s="90">
        <f t="shared" si="252"/>
        <v>0</v>
      </c>
      <c r="AU81" s="82"/>
      <c r="AV81" s="82"/>
      <c r="AW81" s="82"/>
      <c r="AX81" s="82"/>
      <c r="AY81" s="82"/>
      <c r="AZ81" s="82"/>
      <c r="BA81" s="82"/>
      <c r="BB81" s="82"/>
      <c r="BC81" s="82"/>
      <c r="BD81" s="82"/>
      <c r="BE81" s="82"/>
      <c r="BF81" s="82"/>
      <c r="BG81" s="88">
        <f t="shared" si="253"/>
        <v>0</v>
      </c>
      <c r="BH81" s="88">
        <f t="shared" si="254"/>
        <v>0</v>
      </c>
      <c r="BI81" s="90">
        <f t="shared" si="255"/>
        <v>0</v>
      </c>
      <c r="BJ81" s="99"/>
      <c r="BK81" s="88">
        <f t="shared" si="256"/>
        <v>0</v>
      </c>
      <c r="BL81" s="100"/>
      <c r="BM81" s="101"/>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row>
    <row r="82" spans="2:150" s="87" customFormat="1" ht="15" hidden="1" outlineLevel="1" thickBot="1" x14ac:dyDescent="0.35">
      <c r="B82" s="197" t="s">
        <v>222</v>
      </c>
      <c r="C82" s="87">
        <v>8</v>
      </c>
      <c r="D82" s="87" t="str">
        <f t="shared" si="31"/>
        <v>078</v>
      </c>
      <c r="F82" s="13" t="s">
        <v>46</v>
      </c>
      <c r="G82" s="12"/>
      <c r="H82" s="88">
        <f t="shared" si="241"/>
        <v>0</v>
      </c>
      <c r="I82" s="88">
        <f t="shared" si="242"/>
        <v>0</v>
      </c>
      <c r="J82" s="88">
        <f t="shared" si="243"/>
        <v>0</v>
      </c>
      <c r="K82" s="90">
        <f t="shared" si="244"/>
        <v>0</v>
      </c>
      <c r="L82" s="88">
        <f t="shared" si="240"/>
        <v>0</v>
      </c>
      <c r="M82" s="88">
        <f t="shared" si="245"/>
        <v>0</v>
      </c>
      <c r="N82" s="90">
        <f t="shared" si="246"/>
        <v>0</v>
      </c>
      <c r="O82" s="88">
        <f t="shared" si="247"/>
        <v>0</v>
      </c>
      <c r="P82" s="88">
        <f t="shared" si="248"/>
        <v>0</v>
      </c>
      <c r="Q82" s="90">
        <f t="shared" si="249"/>
        <v>0</v>
      </c>
      <c r="R82" s="98"/>
      <c r="S82" s="82"/>
      <c r="T82" s="82"/>
      <c r="U82" s="82"/>
      <c r="V82" s="82"/>
      <c r="W82" s="82"/>
      <c r="X82" s="82"/>
      <c r="Y82" s="82"/>
      <c r="Z82" s="82"/>
      <c r="AA82" s="82"/>
      <c r="AB82" s="82"/>
      <c r="AC82" s="82"/>
      <c r="AD82" s="82"/>
      <c r="AE82" s="82">
        <v>0</v>
      </c>
      <c r="AF82" s="88">
        <f>SUMIF('2022 Budget Expenses Model'!$C:$C,'Summary by Department &amp; Categor'!$D82,'2022 Budget Expenses Model'!I:I)</f>
        <v>0</v>
      </c>
      <c r="AG82" s="88">
        <f>SUMIF('2022 Budget Expenses Model'!$C:$C,'Summary by Department &amp; Categor'!$D82,'2022 Budget Expenses Model'!J:J)</f>
        <v>0</v>
      </c>
      <c r="AH82" s="88">
        <f>SUMIF('2022 Budget Expenses Model'!$C:$C,'Summary by Department &amp; Categor'!$D82,'2022 Budget Expenses Model'!K:K)</f>
        <v>0</v>
      </c>
      <c r="AI82" s="88">
        <f>SUMIF('2022 Budget Expenses Model'!$C:$C,'Summary by Department &amp; Categor'!$D82,'2022 Budget Expenses Model'!L:L)</f>
        <v>0</v>
      </c>
      <c r="AJ82" s="88">
        <f>SUMIF('2022 Budget Expenses Model'!$C:$C,'Summary by Department &amp; Categor'!$D82,'2022 Budget Expenses Model'!M:M)</f>
        <v>0</v>
      </c>
      <c r="AK82" s="88">
        <f>SUMIF('2022 Budget Expenses Model'!$C:$C,'Summary by Department &amp; Categor'!$D82,'2022 Budget Expenses Model'!N:N)</f>
        <v>0</v>
      </c>
      <c r="AL82" s="88">
        <f>SUMIF('2022 Budget Expenses Model'!$C:$C,'Summary by Department &amp; Categor'!$D82,'2022 Budget Expenses Model'!O:O)</f>
        <v>0</v>
      </c>
      <c r="AM82" s="88">
        <f>SUMIF('2022 Budget Expenses Model'!$C:$C,'Summary by Department &amp; Categor'!$D82,'2022 Budget Expenses Model'!P:P)</f>
        <v>0</v>
      </c>
      <c r="AN82" s="88">
        <f>SUMIF('2022 Budget Expenses Model'!$C:$C,'Summary by Department &amp; Categor'!$D82,'2022 Budget Expenses Model'!Q:Q)</f>
        <v>0</v>
      </c>
      <c r="AO82" s="88">
        <f>SUMIF('2022 Budget Expenses Model'!$C:$C,'Summary by Department &amp; Categor'!$D82,'2022 Budget Expenses Model'!R:R)</f>
        <v>0</v>
      </c>
      <c r="AP82" s="88">
        <f>SUMIF('2022 Budget Expenses Model'!$C:$C,'Summary by Department &amp; Categor'!$D82,'2022 Budget Expenses Model'!S:S)</f>
        <v>0</v>
      </c>
      <c r="AQ82" s="88">
        <f>SUMIF('2022 Budget Expenses Model'!$C:$C,'Summary by Department &amp; Categor'!$D82,'2022 Budget Expenses Model'!T:T)</f>
        <v>0</v>
      </c>
      <c r="AR82" s="88">
        <f t="shared" si="250"/>
        <v>0</v>
      </c>
      <c r="AS82" s="88">
        <f t="shared" si="251"/>
        <v>0</v>
      </c>
      <c r="AT82" s="90">
        <f t="shared" si="252"/>
        <v>0</v>
      </c>
      <c r="AU82" s="82"/>
      <c r="AV82" s="82"/>
      <c r="AW82" s="82"/>
      <c r="AX82" s="82"/>
      <c r="AY82" s="82"/>
      <c r="AZ82" s="82"/>
      <c r="BA82" s="82"/>
      <c r="BB82" s="82"/>
      <c r="BC82" s="82"/>
      <c r="BD82" s="82"/>
      <c r="BE82" s="82"/>
      <c r="BF82" s="82"/>
      <c r="BG82" s="88">
        <f t="shared" si="253"/>
        <v>0</v>
      </c>
      <c r="BH82" s="88">
        <f t="shared" si="254"/>
        <v>0</v>
      </c>
      <c r="BI82" s="90">
        <f t="shared" si="255"/>
        <v>0</v>
      </c>
      <c r="BJ82" s="99"/>
      <c r="BK82" s="88">
        <f t="shared" si="256"/>
        <v>0</v>
      </c>
      <c r="BL82" s="100"/>
      <c r="BM82" s="101"/>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row>
    <row r="83" spans="2:150" s="87" customFormat="1" ht="15" collapsed="1" thickBot="1" x14ac:dyDescent="0.35">
      <c r="F83" s="11" t="s">
        <v>55</v>
      </c>
      <c r="G83" s="12"/>
      <c r="H83" s="82">
        <f t="shared" si="241"/>
        <v>0</v>
      </c>
      <c r="I83" s="82">
        <f t="shared" si="242"/>
        <v>0</v>
      </c>
      <c r="J83" s="82">
        <f t="shared" si="243"/>
        <v>0</v>
      </c>
      <c r="K83" s="83">
        <f t="shared" si="244"/>
        <v>0</v>
      </c>
      <c r="L83" s="82">
        <f t="shared" si="240"/>
        <v>0</v>
      </c>
      <c r="M83" s="82">
        <f t="shared" si="245"/>
        <v>0</v>
      </c>
      <c r="N83" s="83">
        <f t="shared" si="246"/>
        <v>0</v>
      </c>
      <c r="O83" s="82">
        <f t="shared" si="247"/>
        <v>0</v>
      </c>
      <c r="P83" s="82">
        <f t="shared" si="248"/>
        <v>0</v>
      </c>
      <c r="Q83" s="83">
        <f t="shared" si="249"/>
        <v>0</v>
      </c>
      <c r="R83" s="98"/>
      <c r="S83" s="82">
        <f>SUM(S84:S91)</f>
        <v>0</v>
      </c>
      <c r="T83" s="82">
        <f t="shared" ref="T83" si="257">SUM(T84:T91)</f>
        <v>0</v>
      </c>
      <c r="U83" s="82">
        <f t="shared" ref="U83" si="258">SUM(U84:U91)</f>
        <v>0</v>
      </c>
      <c r="V83" s="82">
        <f t="shared" ref="V83" si="259">SUM(V84:V91)</f>
        <v>0</v>
      </c>
      <c r="W83" s="82">
        <f t="shared" ref="W83" si="260">SUM(W84:W91)</f>
        <v>0</v>
      </c>
      <c r="X83" s="82">
        <f t="shared" ref="X83" si="261">SUM(X84:X91)</f>
        <v>0</v>
      </c>
      <c r="Y83" s="82">
        <f t="shared" ref="Y83" si="262">SUM(Y84:Y91)</f>
        <v>0</v>
      </c>
      <c r="Z83" s="82">
        <f t="shared" ref="Z83" si="263">SUM(Z84:Z91)</f>
        <v>0</v>
      </c>
      <c r="AA83" s="82">
        <f t="shared" ref="AA83" si="264">SUM(AA84:AA91)</f>
        <v>0</v>
      </c>
      <c r="AB83" s="82">
        <f t="shared" ref="AB83" si="265">SUM(AB84:AB91)</f>
        <v>0</v>
      </c>
      <c r="AC83" s="82">
        <f t="shared" ref="AC83" si="266">SUM(AC84:AC91)</f>
        <v>0</v>
      </c>
      <c r="AD83" s="82">
        <f t="shared" ref="AD83" si="267">SUM(AD84:AD91)</f>
        <v>0</v>
      </c>
      <c r="AE83" s="82">
        <v>1977.76</v>
      </c>
      <c r="AF83" s="82">
        <f>SUM(AF84:AF91)</f>
        <v>0</v>
      </c>
      <c r="AG83" s="82">
        <f t="shared" ref="AG83" si="268">SUM(AG84:AG91)</f>
        <v>0</v>
      </c>
      <c r="AH83" s="82">
        <f t="shared" ref="AH83" si="269">SUM(AH84:AH91)</f>
        <v>0</v>
      </c>
      <c r="AI83" s="82">
        <f t="shared" ref="AI83" si="270">SUM(AI84:AI91)</f>
        <v>0</v>
      </c>
      <c r="AJ83" s="82">
        <f t="shared" ref="AJ83" si="271">SUM(AJ84:AJ91)</f>
        <v>0</v>
      </c>
      <c r="AK83" s="82">
        <f t="shared" ref="AK83" si="272">SUM(AK84:AK91)</f>
        <v>0</v>
      </c>
      <c r="AL83" s="82">
        <f t="shared" ref="AL83" si="273">SUM(AL84:AL91)</f>
        <v>0</v>
      </c>
      <c r="AM83" s="82">
        <f t="shared" ref="AM83" si="274">SUM(AM84:AM91)</f>
        <v>0</v>
      </c>
      <c r="AN83" s="82">
        <f t="shared" ref="AN83" si="275">SUM(AN84:AN91)</f>
        <v>0</v>
      </c>
      <c r="AO83" s="82">
        <f t="shared" ref="AO83" si="276">SUM(AO84:AO91)</f>
        <v>0</v>
      </c>
      <c r="AP83" s="82">
        <f t="shared" ref="AP83" si="277">SUM(AP84:AP91)</f>
        <v>0</v>
      </c>
      <c r="AQ83" s="82">
        <f t="shared" ref="AQ83" si="278">SUM(AQ84:AQ91)</f>
        <v>0</v>
      </c>
      <c r="AR83" s="82">
        <f t="shared" si="250"/>
        <v>0</v>
      </c>
      <c r="AS83" s="82">
        <f t="shared" si="251"/>
        <v>1977.76</v>
      </c>
      <c r="AT83" s="83">
        <f t="shared" si="252"/>
        <v>0</v>
      </c>
      <c r="AU83" s="82">
        <f>SUM(AU84:AU91)</f>
        <v>0</v>
      </c>
      <c r="AV83" s="82">
        <f t="shared" ref="AV83" si="279">SUM(AV84:AV91)</f>
        <v>0</v>
      </c>
      <c r="AW83" s="82">
        <f t="shared" ref="AW83" si="280">SUM(AW84:AW91)</f>
        <v>0</v>
      </c>
      <c r="AX83" s="82">
        <f t="shared" ref="AX83" si="281">SUM(AX84:AX91)</f>
        <v>0</v>
      </c>
      <c r="AY83" s="82">
        <f t="shared" ref="AY83" si="282">SUM(AY84:AY91)</f>
        <v>0</v>
      </c>
      <c r="AZ83" s="82">
        <f t="shared" ref="AZ83" si="283">SUM(AZ84:AZ91)</f>
        <v>0</v>
      </c>
      <c r="BA83" s="82">
        <f t="shared" ref="BA83" si="284">SUM(BA84:BA91)</f>
        <v>0</v>
      </c>
      <c r="BB83" s="82">
        <f t="shared" ref="BB83" si="285">SUM(BB84:BB91)</f>
        <v>0</v>
      </c>
      <c r="BC83" s="82">
        <f t="shared" ref="BC83" si="286">SUM(BC84:BC91)</f>
        <v>0</v>
      </c>
      <c r="BD83" s="82">
        <f t="shared" ref="BD83" si="287">SUM(BD84:BD91)</f>
        <v>0</v>
      </c>
      <c r="BE83" s="82">
        <f t="shared" ref="BE83" si="288">SUM(BE84:BE91)</f>
        <v>0</v>
      </c>
      <c r="BF83" s="82">
        <f t="shared" ref="BF83" si="289">SUM(BF84:BF91)</f>
        <v>0</v>
      </c>
      <c r="BG83" s="82">
        <f t="shared" si="253"/>
        <v>0</v>
      </c>
      <c r="BH83" s="82">
        <f t="shared" si="254"/>
        <v>1977.76</v>
      </c>
      <c r="BI83" s="83">
        <f t="shared" si="255"/>
        <v>0</v>
      </c>
      <c r="BJ83" s="99"/>
      <c r="BK83" s="82">
        <f t="shared" ref="BK83" si="290">SUM(BK84:BK91)</f>
        <v>0</v>
      </c>
      <c r="BL83" s="100"/>
      <c r="BM83" s="101"/>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row>
    <row r="84" spans="2:150" s="87" customFormat="1" ht="15" hidden="1" outlineLevel="1" thickBot="1" x14ac:dyDescent="0.35">
      <c r="B84" s="197" t="s">
        <v>223</v>
      </c>
      <c r="C84" s="87">
        <v>2</v>
      </c>
      <c r="D84" s="87" t="str">
        <f t="shared" si="31"/>
        <v>082</v>
      </c>
      <c r="F84" s="13" t="s">
        <v>233</v>
      </c>
      <c r="G84" s="12"/>
      <c r="H84" s="82">
        <f t="shared" si="241"/>
        <v>0</v>
      </c>
      <c r="I84" s="82">
        <f t="shared" si="242"/>
        <v>0</v>
      </c>
      <c r="J84" s="82">
        <f t="shared" ref="J84:J93" si="291">H84-I84</f>
        <v>0</v>
      </c>
      <c r="K84" s="83">
        <f t="shared" ref="K84:K93" si="292">IFERROR(J84/I84,0)</f>
        <v>0</v>
      </c>
      <c r="L84" s="82">
        <f t="shared" ref="L84:L108" si="293">INDEX($S84:$AD84,MATCH($L$9,$S$9:$AD$9,0))</f>
        <v>0</v>
      </c>
      <c r="M84" s="82">
        <f t="shared" ref="M84:M93" si="294">H84-L84</f>
        <v>0</v>
      </c>
      <c r="N84" s="83">
        <f t="shared" ref="N84:N93" si="295">IFERROR(M84/L84,0)</f>
        <v>0</v>
      </c>
      <c r="O84" s="82">
        <f t="shared" si="247"/>
        <v>0</v>
      </c>
      <c r="P84" s="82">
        <f t="shared" ref="P84:P93" si="296">H84-O84</f>
        <v>0</v>
      </c>
      <c r="Q84" s="83">
        <f t="shared" ref="Q84:Q93" si="297">IFERROR(P84/O84,0)</f>
        <v>0</v>
      </c>
      <c r="R84" s="98"/>
      <c r="S84" s="82"/>
      <c r="T84" s="82"/>
      <c r="U84" s="82"/>
      <c r="V84" s="82"/>
      <c r="W84" s="82"/>
      <c r="X84" s="82"/>
      <c r="Y84" s="82"/>
      <c r="Z84" s="82"/>
      <c r="AA84" s="82"/>
      <c r="AB84" s="82"/>
      <c r="AC84" s="82"/>
      <c r="AD84" s="82"/>
      <c r="AE84" s="82">
        <v>0</v>
      </c>
      <c r="AF84" s="88">
        <f>SUMIF('2022 Budget Expenses Model'!$C:$C,'Summary by Department &amp; Categor'!$D84,'2022 Budget Expenses Model'!I:I)</f>
        <v>0</v>
      </c>
      <c r="AG84" s="88">
        <f>SUMIF('2022 Budget Expenses Model'!$C:$C,'Summary by Department &amp; Categor'!$D84,'2022 Budget Expenses Model'!J:J)</f>
        <v>0</v>
      </c>
      <c r="AH84" s="88">
        <f>SUMIF('2022 Budget Expenses Model'!$C:$C,'Summary by Department &amp; Categor'!$D84,'2022 Budget Expenses Model'!K:K)</f>
        <v>0</v>
      </c>
      <c r="AI84" s="88">
        <f>SUMIF('2022 Budget Expenses Model'!$C:$C,'Summary by Department &amp; Categor'!$D84,'2022 Budget Expenses Model'!L:L)</f>
        <v>0</v>
      </c>
      <c r="AJ84" s="88">
        <f>SUMIF('2022 Budget Expenses Model'!$C:$C,'Summary by Department &amp; Categor'!$D84,'2022 Budget Expenses Model'!M:M)</f>
        <v>0</v>
      </c>
      <c r="AK84" s="88">
        <f>SUMIF('2022 Budget Expenses Model'!$C:$C,'Summary by Department &amp; Categor'!$D84,'2022 Budget Expenses Model'!N:N)</f>
        <v>0</v>
      </c>
      <c r="AL84" s="88">
        <f>SUMIF('2022 Budget Expenses Model'!$C:$C,'Summary by Department &amp; Categor'!$D84,'2022 Budget Expenses Model'!O:O)</f>
        <v>0</v>
      </c>
      <c r="AM84" s="88">
        <f>SUMIF('2022 Budget Expenses Model'!$C:$C,'Summary by Department &amp; Categor'!$D84,'2022 Budget Expenses Model'!P:P)</f>
        <v>0</v>
      </c>
      <c r="AN84" s="88">
        <f>SUMIF('2022 Budget Expenses Model'!$C:$C,'Summary by Department &amp; Categor'!$D84,'2022 Budget Expenses Model'!Q:Q)</f>
        <v>0</v>
      </c>
      <c r="AO84" s="88">
        <f>SUMIF('2022 Budget Expenses Model'!$C:$C,'Summary by Department &amp; Categor'!$D84,'2022 Budget Expenses Model'!R:R)</f>
        <v>0</v>
      </c>
      <c r="AP84" s="88">
        <f>SUMIF('2022 Budget Expenses Model'!$C:$C,'Summary by Department &amp; Categor'!$D84,'2022 Budget Expenses Model'!S:S)</f>
        <v>0</v>
      </c>
      <c r="AQ84" s="88">
        <f>SUMIF('2022 Budget Expenses Model'!$C:$C,'Summary by Department &amp; Categor'!$D84,'2022 Budget Expenses Model'!T:T)</f>
        <v>0</v>
      </c>
      <c r="AR84" s="82">
        <f t="shared" si="250"/>
        <v>0</v>
      </c>
      <c r="AS84" s="82">
        <f t="shared" ref="AS84:AS93" si="298">AE84-AR84</f>
        <v>0</v>
      </c>
      <c r="AT84" s="83">
        <f t="shared" ref="AT84:AT93" si="299">IFERROR(AS84/AR84,0)</f>
        <v>0</v>
      </c>
      <c r="AU84" s="82"/>
      <c r="AV84" s="82"/>
      <c r="AW84" s="82"/>
      <c r="AX84" s="82"/>
      <c r="AY84" s="82"/>
      <c r="AZ84" s="82"/>
      <c r="BA84" s="82"/>
      <c r="BB84" s="82"/>
      <c r="BC84" s="82"/>
      <c r="BD84" s="82"/>
      <c r="BE84" s="82"/>
      <c r="BF84" s="82"/>
      <c r="BG84" s="82">
        <f t="shared" si="253"/>
        <v>0</v>
      </c>
      <c r="BH84" s="82">
        <f t="shared" ref="BH84:BH91" si="300">AE84-BG84</f>
        <v>0</v>
      </c>
      <c r="BI84" s="83">
        <f t="shared" ref="BI84:BI91" si="301">IFERROR(BH84/BG84,0)</f>
        <v>0</v>
      </c>
      <c r="BJ84" s="99"/>
      <c r="BK84" s="88">
        <f t="shared" ref="BK84:BK91" si="302">SUM(AF84:AQ84)</f>
        <v>0</v>
      </c>
      <c r="BL84" s="100"/>
      <c r="BM84" s="101"/>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row>
    <row r="85" spans="2:150" s="87" customFormat="1" ht="15" hidden="1" outlineLevel="1" thickBot="1" x14ac:dyDescent="0.35">
      <c r="B85" s="197" t="s">
        <v>223</v>
      </c>
      <c r="C85" s="87">
        <v>1</v>
      </c>
      <c r="D85" s="87" t="str">
        <f t="shared" si="31"/>
        <v>081</v>
      </c>
      <c r="F85" s="13" t="s">
        <v>440</v>
      </c>
      <c r="G85" s="12"/>
      <c r="H85" s="82">
        <f t="shared" si="241"/>
        <v>0</v>
      </c>
      <c r="I85" s="82">
        <f t="shared" si="242"/>
        <v>0</v>
      </c>
      <c r="J85" s="82">
        <f t="shared" si="291"/>
        <v>0</v>
      </c>
      <c r="K85" s="83">
        <f t="shared" si="292"/>
        <v>0</v>
      </c>
      <c r="L85" s="82">
        <f t="shared" si="293"/>
        <v>0</v>
      </c>
      <c r="M85" s="82">
        <f t="shared" si="294"/>
        <v>0</v>
      </c>
      <c r="N85" s="83">
        <f t="shared" si="295"/>
        <v>0</v>
      </c>
      <c r="O85" s="82">
        <f t="shared" si="247"/>
        <v>0</v>
      </c>
      <c r="P85" s="82">
        <f t="shared" si="296"/>
        <v>0</v>
      </c>
      <c r="Q85" s="83">
        <f t="shared" si="297"/>
        <v>0</v>
      </c>
      <c r="R85" s="98"/>
      <c r="S85" s="82"/>
      <c r="T85" s="82"/>
      <c r="U85" s="82"/>
      <c r="V85" s="82"/>
      <c r="W85" s="82"/>
      <c r="X85" s="82"/>
      <c r="Y85" s="82"/>
      <c r="Z85" s="82"/>
      <c r="AA85" s="82"/>
      <c r="AB85" s="82"/>
      <c r="AC85" s="82"/>
      <c r="AD85" s="82"/>
      <c r="AE85" s="82">
        <v>0</v>
      </c>
      <c r="AF85" s="88">
        <f>SUMIF('2022 Budget Expenses Model'!$C:$C,'Summary by Department &amp; Categor'!$D85,'2022 Budget Expenses Model'!I:I)</f>
        <v>0</v>
      </c>
      <c r="AG85" s="88">
        <f>SUMIF('2022 Budget Expenses Model'!$C:$C,'Summary by Department &amp; Categor'!$D85,'2022 Budget Expenses Model'!J:J)</f>
        <v>0</v>
      </c>
      <c r="AH85" s="88">
        <f>SUMIF('2022 Budget Expenses Model'!$C:$C,'Summary by Department &amp; Categor'!$D85,'2022 Budget Expenses Model'!K:K)</f>
        <v>0</v>
      </c>
      <c r="AI85" s="88">
        <f>SUMIF('2022 Budget Expenses Model'!$C:$C,'Summary by Department &amp; Categor'!$D85,'2022 Budget Expenses Model'!L:L)</f>
        <v>0</v>
      </c>
      <c r="AJ85" s="88">
        <f>SUMIF('2022 Budget Expenses Model'!$C:$C,'Summary by Department &amp; Categor'!$D85,'2022 Budget Expenses Model'!M:M)</f>
        <v>0</v>
      </c>
      <c r="AK85" s="88">
        <f>SUMIF('2022 Budget Expenses Model'!$C:$C,'Summary by Department &amp; Categor'!$D85,'2022 Budget Expenses Model'!N:N)</f>
        <v>0</v>
      </c>
      <c r="AL85" s="88">
        <f>SUMIF('2022 Budget Expenses Model'!$C:$C,'Summary by Department &amp; Categor'!$D85,'2022 Budget Expenses Model'!O:O)</f>
        <v>0</v>
      </c>
      <c r="AM85" s="88">
        <f>SUMIF('2022 Budget Expenses Model'!$C:$C,'Summary by Department &amp; Categor'!$D85,'2022 Budget Expenses Model'!P:P)</f>
        <v>0</v>
      </c>
      <c r="AN85" s="88">
        <f>SUMIF('2022 Budget Expenses Model'!$C:$C,'Summary by Department &amp; Categor'!$D85,'2022 Budget Expenses Model'!Q:Q)</f>
        <v>0</v>
      </c>
      <c r="AO85" s="88">
        <f>SUMIF('2022 Budget Expenses Model'!$C:$C,'Summary by Department &amp; Categor'!$D85,'2022 Budget Expenses Model'!R:R)</f>
        <v>0</v>
      </c>
      <c r="AP85" s="88">
        <f>SUMIF('2022 Budget Expenses Model'!$C:$C,'Summary by Department &amp; Categor'!$D85,'2022 Budget Expenses Model'!S:S)</f>
        <v>0</v>
      </c>
      <c r="AQ85" s="88">
        <f>SUMIF('2022 Budget Expenses Model'!$C:$C,'Summary by Department &amp; Categor'!$D85,'2022 Budget Expenses Model'!T:T)</f>
        <v>0</v>
      </c>
      <c r="AR85" s="82">
        <f t="shared" si="250"/>
        <v>0</v>
      </c>
      <c r="AS85" s="82">
        <f t="shared" si="298"/>
        <v>0</v>
      </c>
      <c r="AT85" s="83">
        <f t="shared" si="299"/>
        <v>0</v>
      </c>
      <c r="AU85" s="82"/>
      <c r="AV85" s="82"/>
      <c r="AW85" s="82"/>
      <c r="AX85" s="82"/>
      <c r="AY85" s="82"/>
      <c r="AZ85" s="82"/>
      <c r="BA85" s="82"/>
      <c r="BB85" s="82"/>
      <c r="BC85" s="82"/>
      <c r="BD85" s="82"/>
      <c r="BE85" s="82"/>
      <c r="BF85" s="82"/>
      <c r="BG85" s="82">
        <f t="shared" si="253"/>
        <v>0</v>
      </c>
      <c r="BH85" s="82">
        <f t="shared" si="300"/>
        <v>0</v>
      </c>
      <c r="BI85" s="83">
        <f t="shared" si="301"/>
        <v>0</v>
      </c>
      <c r="BJ85" s="99"/>
      <c r="BK85" s="88">
        <f t="shared" si="302"/>
        <v>0</v>
      </c>
      <c r="BL85" s="100"/>
      <c r="BM85" s="101"/>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row>
    <row r="86" spans="2:150" s="87" customFormat="1" ht="15" hidden="1" outlineLevel="1" thickBot="1" x14ac:dyDescent="0.35">
      <c r="B86" s="197" t="s">
        <v>223</v>
      </c>
      <c r="C86" s="87">
        <v>3</v>
      </c>
      <c r="D86" s="87" t="str">
        <f t="shared" ref="D86:D91" si="303">CONCATENATE(B86,C86)</f>
        <v>083</v>
      </c>
      <c r="F86" s="13" t="s">
        <v>238</v>
      </c>
      <c r="G86" s="12"/>
      <c r="H86" s="82">
        <f t="shared" si="241"/>
        <v>0</v>
      </c>
      <c r="I86" s="82">
        <f t="shared" si="242"/>
        <v>0</v>
      </c>
      <c r="J86" s="82">
        <f t="shared" si="291"/>
        <v>0</v>
      </c>
      <c r="K86" s="83">
        <f t="shared" si="292"/>
        <v>0</v>
      </c>
      <c r="L86" s="82">
        <f t="shared" si="293"/>
        <v>0</v>
      </c>
      <c r="M86" s="82">
        <f t="shared" si="294"/>
        <v>0</v>
      </c>
      <c r="N86" s="83">
        <f t="shared" si="295"/>
        <v>0</v>
      </c>
      <c r="O86" s="82">
        <f t="shared" si="247"/>
        <v>0</v>
      </c>
      <c r="P86" s="82">
        <f t="shared" si="296"/>
        <v>0</v>
      </c>
      <c r="Q86" s="83">
        <f t="shared" si="297"/>
        <v>0</v>
      </c>
      <c r="R86" s="98"/>
      <c r="S86" s="82"/>
      <c r="T86" s="82"/>
      <c r="U86" s="82"/>
      <c r="V86" s="82"/>
      <c r="W86" s="82"/>
      <c r="X86" s="82"/>
      <c r="Y86" s="82"/>
      <c r="Z86" s="82"/>
      <c r="AA86" s="82"/>
      <c r="AB86" s="82"/>
      <c r="AC86" s="82"/>
      <c r="AD86" s="82"/>
      <c r="AE86" s="82">
        <v>0</v>
      </c>
      <c r="AF86" s="88">
        <f>SUMIF('2022 Budget Expenses Model'!$C:$C,'Summary by Department &amp; Categor'!$D86,'2022 Budget Expenses Model'!I:I)</f>
        <v>0</v>
      </c>
      <c r="AG86" s="88">
        <f>SUMIF('2022 Budget Expenses Model'!$C:$C,'Summary by Department &amp; Categor'!$D86,'2022 Budget Expenses Model'!J:J)</f>
        <v>0</v>
      </c>
      <c r="AH86" s="88">
        <f>SUMIF('2022 Budget Expenses Model'!$C:$C,'Summary by Department &amp; Categor'!$D86,'2022 Budget Expenses Model'!K:K)</f>
        <v>0</v>
      </c>
      <c r="AI86" s="88">
        <f>SUMIF('2022 Budget Expenses Model'!$C:$C,'Summary by Department &amp; Categor'!$D86,'2022 Budget Expenses Model'!L:L)</f>
        <v>0</v>
      </c>
      <c r="AJ86" s="88">
        <f>SUMIF('2022 Budget Expenses Model'!$C:$C,'Summary by Department &amp; Categor'!$D86,'2022 Budget Expenses Model'!M:M)</f>
        <v>0</v>
      </c>
      <c r="AK86" s="88">
        <f>SUMIF('2022 Budget Expenses Model'!$C:$C,'Summary by Department &amp; Categor'!$D86,'2022 Budget Expenses Model'!N:N)</f>
        <v>0</v>
      </c>
      <c r="AL86" s="88">
        <f>SUMIF('2022 Budget Expenses Model'!$C:$C,'Summary by Department &amp; Categor'!$D86,'2022 Budget Expenses Model'!O:O)</f>
        <v>0</v>
      </c>
      <c r="AM86" s="88">
        <f>SUMIF('2022 Budget Expenses Model'!$C:$C,'Summary by Department &amp; Categor'!$D86,'2022 Budget Expenses Model'!P:P)</f>
        <v>0</v>
      </c>
      <c r="AN86" s="88">
        <f>SUMIF('2022 Budget Expenses Model'!$C:$C,'Summary by Department &amp; Categor'!$D86,'2022 Budget Expenses Model'!Q:Q)</f>
        <v>0</v>
      </c>
      <c r="AO86" s="88">
        <f>SUMIF('2022 Budget Expenses Model'!$C:$C,'Summary by Department &amp; Categor'!$D86,'2022 Budget Expenses Model'!R:R)</f>
        <v>0</v>
      </c>
      <c r="AP86" s="88">
        <f>SUMIF('2022 Budget Expenses Model'!$C:$C,'Summary by Department &amp; Categor'!$D86,'2022 Budget Expenses Model'!S:S)</f>
        <v>0</v>
      </c>
      <c r="AQ86" s="88">
        <f>SUMIF('2022 Budget Expenses Model'!$C:$C,'Summary by Department &amp; Categor'!$D86,'2022 Budget Expenses Model'!T:T)</f>
        <v>0</v>
      </c>
      <c r="AR86" s="82">
        <f t="shared" si="250"/>
        <v>0</v>
      </c>
      <c r="AS86" s="82">
        <f t="shared" si="298"/>
        <v>0</v>
      </c>
      <c r="AT86" s="83">
        <f t="shared" si="299"/>
        <v>0</v>
      </c>
      <c r="AU86" s="82"/>
      <c r="AV86" s="82"/>
      <c r="AW86" s="82"/>
      <c r="AX86" s="82"/>
      <c r="AY86" s="82"/>
      <c r="AZ86" s="82"/>
      <c r="BA86" s="82"/>
      <c r="BB86" s="82"/>
      <c r="BC86" s="82"/>
      <c r="BD86" s="82"/>
      <c r="BE86" s="82"/>
      <c r="BF86" s="82"/>
      <c r="BG86" s="82">
        <f t="shared" si="253"/>
        <v>0</v>
      </c>
      <c r="BH86" s="82">
        <f t="shared" si="300"/>
        <v>0</v>
      </c>
      <c r="BI86" s="83">
        <f t="shared" si="301"/>
        <v>0</v>
      </c>
      <c r="BJ86" s="99"/>
      <c r="BK86" s="88">
        <f t="shared" si="302"/>
        <v>0</v>
      </c>
      <c r="BL86" s="100"/>
      <c r="BM86" s="101"/>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row>
    <row r="87" spans="2:150" s="87" customFormat="1" ht="15" hidden="1" outlineLevel="1" thickBot="1" x14ac:dyDescent="0.35">
      <c r="B87" s="197" t="s">
        <v>223</v>
      </c>
      <c r="C87" s="87">
        <v>4</v>
      </c>
      <c r="D87" s="87" t="str">
        <f t="shared" si="303"/>
        <v>084</v>
      </c>
      <c r="F87" s="13" t="s">
        <v>244</v>
      </c>
      <c r="G87" s="12"/>
      <c r="H87" s="82">
        <f t="shared" si="241"/>
        <v>0</v>
      </c>
      <c r="I87" s="82">
        <f t="shared" si="242"/>
        <v>0</v>
      </c>
      <c r="J87" s="82">
        <f t="shared" si="291"/>
        <v>0</v>
      </c>
      <c r="K87" s="83">
        <f t="shared" si="292"/>
        <v>0</v>
      </c>
      <c r="L87" s="82">
        <f t="shared" si="293"/>
        <v>0</v>
      </c>
      <c r="M87" s="82">
        <f t="shared" si="294"/>
        <v>0</v>
      </c>
      <c r="N87" s="83">
        <f t="shared" si="295"/>
        <v>0</v>
      </c>
      <c r="O87" s="82">
        <f t="shared" si="247"/>
        <v>0</v>
      </c>
      <c r="P87" s="82">
        <f t="shared" si="296"/>
        <v>0</v>
      </c>
      <c r="Q87" s="83">
        <f t="shared" si="297"/>
        <v>0</v>
      </c>
      <c r="R87" s="98"/>
      <c r="S87" s="82"/>
      <c r="T87" s="82"/>
      <c r="U87" s="82"/>
      <c r="V87" s="82"/>
      <c r="W87" s="82"/>
      <c r="X87" s="82"/>
      <c r="Y87" s="82"/>
      <c r="Z87" s="82"/>
      <c r="AA87" s="82"/>
      <c r="AB87" s="82"/>
      <c r="AC87" s="82"/>
      <c r="AD87" s="82"/>
      <c r="AE87" s="82">
        <v>0</v>
      </c>
      <c r="AF87" s="88">
        <f>SUMIF('2022 Budget Expenses Model'!$C:$C,'Summary by Department &amp; Categor'!$D87,'2022 Budget Expenses Model'!I:I)</f>
        <v>0</v>
      </c>
      <c r="AG87" s="88">
        <f>SUMIF('2022 Budget Expenses Model'!$C:$C,'Summary by Department &amp; Categor'!$D87,'2022 Budget Expenses Model'!J:J)</f>
        <v>0</v>
      </c>
      <c r="AH87" s="88">
        <f>SUMIF('2022 Budget Expenses Model'!$C:$C,'Summary by Department &amp; Categor'!$D87,'2022 Budget Expenses Model'!K:K)</f>
        <v>0</v>
      </c>
      <c r="AI87" s="88">
        <f>SUMIF('2022 Budget Expenses Model'!$C:$C,'Summary by Department &amp; Categor'!$D87,'2022 Budget Expenses Model'!L:L)</f>
        <v>0</v>
      </c>
      <c r="AJ87" s="88">
        <f>SUMIF('2022 Budget Expenses Model'!$C:$C,'Summary by Department &amp; Categor'!$D87,'2022 Budget Expenses Model'!M:M)</f>
        <v>0</v>
      </c>
      <c r="AK87" s="88">
        <f>SUMIF('2022 Budget Expenses Model'!$C:$C,'Summary by Department &amp; Categor'!$D87,'2022 Budget Expenses Model'!N:N)</f>
        <v>0</v>
      </c>
      <c r="AL87" s="88">
        <f>SUMIF('2022 Budget Expenses Model'!$C:$C,'Summary by Department &amp; Categor'!$D87,'2022 Budget Expenses Model'!O:O)</f>
        <v>0</v>
      </c>
      <c r="AM87" s="88">
        <f>SUMIF('2022 Budget Expenses Model'!$C:$C,'Summary by Department &amp; Categor'!$D87,'2022 Budget Expenses Model'!P:P)</f>
        <v>0</v>
      </c>
      <c r="AN87" s="88">
        <f>SUMIF('2022 Budget Expenses Model'!$C:$C,'Summary by Department &amp; Categor'!$D87,'2022 Budget Expenses Model'!Q:Q)</f>
        <v>0</v>
      </c>
      <c r="AO87" s="88">
        <f>SUMIF('2022 Budget Expenses Model'!$C:$C,'Summary by Department &amp; Categor'!$D87,'2022 Budget Expenses Model'!R:R)</f>
        <v>0</v>
      </c>
      <c r="AP87" s="88">
        <f>SUMIF('2022 Budget Expenses Model'!$C:$C,'Summary by Department &amp; Categor'!$D87,'2022 Budget Expenses Model'!S:S)</f>
        <v>0</v>
      </c>
      <c r="AQ87" s="88">
        <f>SUMIF('2022 Budget Expenses Model'!$C:$C,'Summary by Department &amp; Categor'!$D87,'2022 Budget Expenses Model'!T:T)</f>
        <v>0</v>
      </c>
      <c r="AR87" s="82">
        <f t="shared" si="250"/>
        <v>0</v>
      </c>
      <c r="AS87" s="82">
        <f t="shared" si="298"/>
        <v>0</v>
      </c>
      <c r="AT87" s="83">
        <f t="shared" si="299"/>
        <v>0</v>
      </c>
      <c r="AU87" s="82"/>
      <c r="AV87" s="82"/>
      <c r="AW87" s="82"/>
      <c r="AX87" s="82"/>
      <c r="AY87" s="82"/>
      <c r="AZ87" s="82"/>
      <c r="BA87" s="82"/>
      <c r="BB87" s="82"/>
      <c r="BC87" s="82"/>
      <c r="BD87" s="82"/>
      <c r="BE87" s="82"/>
      <c r="BF87" s="82"/>
      <c r="BG87" s="82">
        <f t="shared" si="253"/>
        <v>0</v>
      </c>
      <c r="BH87" s="82">
        <f t="shared" si="300"/>
        <v>0</v>
      </c>
      <c r="BI87" s="83">
        <f t="shared" si="301"/>
        <v>0</v>
      </c>
      <c r="BJ87" s="99"/>
      <c r="BK87" s="88">
        <f t="shared" si="302"/>
        <v>0</v>
      </c>
      <c r="BL87" s="100"/>
      <c r="BM87" s="101"/>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row>
    <row r="88" spans="2:150" s="87" customFormat="1" ht="15" hidden="1" outlineLevel="1" thickBot="1" x14ac:dyDescent="0.35">
      <c r="B88" s="197" t="s">
        <v>223</v>
      </c>
      <c r="C88" s="87">
        <v>5</v>
      </c>
      <c r="D88" s="87" t="str">
        <f t="shared" si="303"/>
        <v>085</v>
      </c>
      <c r="F88" s="13" t="s">
        <v>251</v>
      </c>
      <c r="G88" s="12"/>
      <c r="H88" s="82">
        <f t="shared" si="241"/>
        <v>0</v>
      </c>
      <c r="I88" s="82">
        <f t="shared" si="242"/>
        <v>0</v>
      </c>
      <c r="J88" s="82">
        <f t="shared" si="291"/>
        <v>0</v>
      </c>
      <c r="K88" s="83">
        <f t="shared" si="292"/>
        <v>0</v>
      </c>
      <c r="L88" s="82">
        <f t="shared" si="293"/>
        <v>0</v>
      </c>
      <c r="M88" s="82">
        <f t="shared" si="294"/>
        <v>0</v>
      </c>
      <c r="N88" s="83">
        <f t="shared" si="295"/>
        <v>0</v>
      </c>
      <c r="O88" s="82">
        <f t="shared" si="247"/>
        <v>0</v>
      </c>
      <c r="P88" s="82">
        <f t="shared" si="296"/>
        <v>0</v>
      </c>
      <c r="Q88" s="83">
        <f t="shared" si="297"/>
        <v>0</v>
      </c>
      <c r="R88" s="98"/>
      <c r="S88" s="82"/>
      <c r="T88" s="82"/>
      <c r="U88" s="82"/>
      <c r="V88" s="82"/>
      <c r="W88" s="82"/>
      <c r="X88" s="82"/>
      <c r="Y88" s="82"/>
      <c r="Z88" s="82"/>
      <c r="AA88" s="82"/>
      <c r="AB88" s="82"/>
      <c r="AC88" s="82"/>
      <c r="AD88" s="82"/>
      <c r="AE88" s="82">
        <v>1977.76</v>
      </c>
      <c r="AF88" s="88">
        <f>SUMIF('2022 Budget Expenses Model'!$C:$C,'Summary by Department &amp; Categor'!$D88,'2022 Budget Expenses Model'!I:I)</f>
        <v>0</v>
      </c>
      <c r="AG88" s="88">
        <f>SUMIF('2022 Budget Expenses Model'!$C:$C,'Summary by Department &amp; Categor'!$D88,'2022 Budget Expenses Model'!J:J)</f>
        <v>0</v>
      </c>
      <c r="AH88" s="88">
        <f>SUMIF('2022 Budget Expenses Model'!$C:$C,'Summary by Department &amp; Categor'!$D88,'2022 Budget Expenses Model'!K:K)</f>
        <v>0</v>
      </c>
      <c r="AI88" s="88">
        <f>SUMIF('2022 Budget Expenses Model'!$C:$C,'Summary by Department &amp; Categor'!$D88,'2022 Budget Expenses Model'!L:L)</f>
        <v>0</v>
      </c>
      <c r="AJ88" s="88">
        <f>SUMIF('2022 Budget Expenses Model'!$C:$C,'Summary by Department &amp; Categor'!$D88,'2022 Budget Expenses Model'!M:M)</f>
        <v>0</v>
      </c>
      <c r="AK88" s="88">
        <f>SUMIF('2022 Budget Expenses Model'!$C:$C,'Summary by Department &amp; Categor'!$D88,'2022 Budget Expenses Model'!N:N)</f>
        <v>0</v>
      </c>
      <c r="AL88" s="88">
        <f>SUMIF('2022 Budget Expenses Model'!$C:$C,'Summary by Department &amp; Categor'!$D88,'2022 Budget Expenses Model'!O:O)</f>
        <v>0</v>
      </c>
      <c r="AM88" s="88">
        <f>SUMIF('2022 Budget Expenses Model'!$C:$C,'Summary by Department &amp; Categor'!$D88,'2022 Budget Expenses Model'!P:P)</f>
        <v>0</v>
      </c>
      <c r="AN88" s="88">
        <f>SUMIF('2022 Budget Expenses Model'!$C:$C,'Summary by Department &amp; Categor'!$D88,'2022 Budget Expenses Model'!Q:Q)</f>
        <v>0</v>
      </c>
      <c r="AO88" s="88">
        <f>SUMIF('2022 Budget Expenses Model'!$C:$C,'Summary by Department &amp; Categor'!$D88,'2022 Budget Expenses Model'!R:R)</f>
        <v>0</v>
      </c>
      <c r="AP88" s="88">
        <f>SUMIF('2022 Budget Expenses Model'!$C:$C,'Summary by Department &amp; Categor'!$D88,'2022 Budget Expenses Model'!S:S)</f>
        <v>0</v>
      </c>
      <c r="AQ88" s="88">
        <f>SUMIF('2022 Budget Expenses Model'!$C:$C,'Summary by Department &amp; Categor'!$D88,'2022 Budget Expenses Model'!T:T)</f>
        <v>0</v>
      </c>
      <c r="AR88" s="82">
        <f t="shared" si="250"/>
        <v>0</v>
      </c>
      <c r="AS88" s="82">
        <f t="shared" si="298"/>
        <v>1977.76</v>
      </c>
      <c r="AT88" s="83">
        <f t="shared" si="299"/>
        <v>0</v>
      </c>
      <c r="AU88" s="82"/>
      <c r="AV88" s="82"/>
      <c r="AW88" s="82"/>
      <c r="AX88" s="82"/>
      <c r="AY88" s="82"/>
      <c r="AZ88" s="82"/>
      <c r="BA88" s="82"/>
      <c r="BB88" s="82"/>
      <c r="BC88" s="82"/>
      <c r="BD88" s="82"/>
      <c r="BE88" s="82"/>
      <c r="BF88" s="82"/>
      <c r="BG88" s="82">
        <f t="shared" si="253"/>
        <v>0</v>
      </c>
      <c r="BH88" s="82">
        <f t="shared" si="300"/>
        <v>1977.76</v>
      </c>
      <c r="BI88" s="83">
        <f t="shared" si="301"/>
        <v>0</v>
      </c>
      <c r="BJ88" s="99"/>
      <c r="BK88" s="88">
        <f t="shared" si="302"/>
        <v>0</v>
      </c>
      <c r="BL88" s="100"/>
      <c r="BM88" s="101"/>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row>
    <row r="89" spans="2:150" s="87" customFormat="1" ht="15" hidden="1" outlineLevel="1" thickBot="1" x14ac:dyDescent="0.35">
      <c r="B89" s="197" t="s">
        <v>223</v>
      </c>
      <c r="C89" s="87">
        <v>6</v>
      </c>
      <c r="D89" s="87" t="str">
        <f t="shared" si="303"/>
        <v>086</v>
      </c>
      <c r="F89" s="13" t="s">
        <v>31</v>
      </c>
      <c r="G89" s="12"/>
      <c r="H89" s="82">
        <f t="shared" si="241"/>
        <v>0</v>
      </c>
      <c r="I89" s="82">
        <f t="shared" si="242"/>
        <v>0</v>
      </c>
      <c r="J89" s="82">
        <f t="shared" si="291"/>
        <v>0</v>
      </c>
      <c r="K89" s="83">
        <f t="shared" si="292"/>
        <v>0</v>
      </c>
      <c r="L89" s="82">
        <f t="shared" si="293"/>
        <v>0</v>
      </c>
      <c r="M89" s="82">
        <f t="shared" si="294"/>
        <v>0</v>
      </c>
      <c r="N89" s="83">
        <f t="shared" si="295"/>
        <v>0</v>
      </c>
      <c r="O89" s="82">
        <f t="shared" si="247"/>
        <v>0</v>
      </c>
      <c r="P89" s="82">
        <f t="shared" si="296"/>
        <v>0</v>
      </c>
      <c r="Q89" s="83">
        <f t="shared" si="297"/>
        <v>0</v>
      </c>
      <c r="R89" s="98"/>
      <c r="S89" s="82"/>
      <c r="T89" s="82"/>
      <c r="U89" s="82"/>
      <c r="V89" s="82"/>
      <c r="W89" s="82"/>
      <c r="X89" s="82"/>
      <c r="Y89" s="82"/>
      <c r="Z89" s="82"/>
      <c r="AA89" s="82"/>
      <c r="AB89" s="82"/>
      <c r="AC89" s="82"/>
      <c r="AD89" s="82"/>
      <c r="AE89" s="82">
        <v>0</v>
      </c>
      <c r="AF89" s="88">
        <f>SUMIF('2022 Budget Expenses Model'!$C:$C,'Summary by Department &amp; Categor'!$D89,'2022 Budget Expenses Model'!I:I)</f>
        <v>0</v>
      </c>
      <c r="AG89" s="88">
        <f>SUMIF('2022 Budget Expenses Model'!$C:$C,'Summary by Department &amp; Categor'!$D89,'2022 Budget Expenses Model'!J:J)</f>
        <v>0</v>
      </c>
      <c r="AH89" s="88">
        <f>SUMIF('2022 Budget Expenses Model'!$C:$C,'Summary by Department &amp; Categor'!$D89,'2022 Budget Expenses Model'!K:K)</f>
        <v>0</v>
      </c>
      <c r="AI89" s="88">
        <f>SUMIF('2022 Budget Expenses Model'!$C:$C,'Summary by Department &amp; Categor'!$D89,'2022 Budget Expenses Model'!L:L)</f>
        <v>0</v>
      </c>
      <c r="AJ89" s="88">
        <f>SUMIF('2022 Budget Expenses Model'!$C:$C,'Summary by Department &amp; Categor'!$D89,'2022 Budget Expenses Model'!M:M)</f>
        <v>0</v>
      </c>
      <c r="AK89" s="88">
        <f>SUMIF('2022 Budget Expenses Model'!$C:$C,'Summary by Department &amp; Categor'!$D89,'2022 Budget Expenses Model'!N:N)</f>
        <v>0</v>
      </c>
      <c r="AL89" s="88">
        <f>SUMIF('2022 Budget Expenses Model'!$C:$C,'Summary by Department &amp; Categor'!$D89,'2022 Budget Expenses Model'!O:O)</f>
        <v>0</v>
      </c>
      <c r="AM89" s="88">
        <f>SUMIF('2022 Budget Expenses Model'!$C:$C,'Summary by Department &amp; Categor'!$D89,'2022 Budget Expenses Model'!P:P)</f>
        <v>0</v>
      </c>
      <c r="AN89" s="88">
        <f>SUMIF('2022 Budget Expenses Model'!$C:$C,'Summary by Department &amp; Categor'!$D89,'2022 Budget Expenses Model'!Q:Q)</f>
        <v>0</v>
      </c>
      <c r="AO89" s="88">
        <f>SUMIF('2022 Budget Expenses Model'!$C:$C,'Summary by Department &amp; Categor'!$D89,'2022 Budget Expenses Model'!R:R)</f>
        <v>0</v>
      </c>
      <c r="AP89" s="88">
        <f>SUMIF('2022 Budget Expenses Model'!$C:$C,'Summary by Department &amp; Categor'!$D89,'2022 Budget Expenses Model'!S:S)</f>
        <v>0</v>
      </c>
      <c r="AQ89" s="88">
        <f>SUMIF('2022 Budget Expenses Model'!$C:$C,'Summary by Department &amp; Categor'!$D89,'2022 Budget Expenses Model'!T:T)</f>
        <v>0</v>
      </c>
      <c r="AR89" s="82">
        <f t="shared" si="250"/>
        <v>0</v>
      </c>
      <c r="AS89" s="82">
        <f t="shared" si="298"/>
        <v>0</v>
      </c>
      <c r="AT89" s="83">
        <f t="shared" si="299"/>
        <v>0</v>
      </c>
      <c r="AU89" s="82"/>
      <c r="AV89" s="82"/>
      <c r="AW89" s="82"/>
      <c r="AX89" s="82"/>
      <c r="AY89" s="82"/>
      <c r="AZ89" s="82"/>
      <c r="BA89" s="82"/>
      <c r="BB89" s="82"/>
      <c r="BC89" s="82"/>
      <c r="BD89" s="82"/>
      <c r="BE89" s="82"/>
      <c r="BF89" s="82"/>
      <c r="BG89" s="82">
        <f t="shared" si="253"/>
        <v>0</v>
      </c>
      <c r="BH89" s="82">
        <f t="shared" si="300"/>
        <v>0</v>
      </c>
      <c r="BI89" s="83">
        <f t="shared" si="301"/>
        <v>0</v>
      </c>
      <c r="BJ89" s="99"/>
      <c r="BK89" s="88">
        <f t="shared" si="302"/>
        <v>0</v>
      </c>
      <c r="BL89" s="100"/>
      <c r="BM89" s="101"/>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row>
    <row r="90" spans="2:150" s="87" customFormat="1" ht="15" hidden="1" outlineLevel="1" thickBot="1" x14ac:dyDescent="0.35">
      <c r="B90" s="197" t="s">
        <v>223</v>
      </c>
      <c r="C90" s="87">
        <v>7</v>
      </c>
      <c r="D90" s="87" t="str">
        <f t="shared" si="303"/>
        <v>087</v>
      </c>
      <c r="F90" s="13" t="s">
        <v>256</v>
      </c>
      <c r="G90" s="12"/>
      <c r="H90" s="82">
        <f t="shared" si="241"/>
        <v>0</v>
      </c>
      <c r="I90" s="82">
        <f t="shared" si="242"/>
        <v>0</v>
      </c>
      <c r="J90" s="82">
        <f t="shared" si="291"/>
        <v>0</v>
      </c>
      <c r="K90" s="83">
        <f t="shared" si="292"/>
        <v>0</v>
      </c>
      <c r="L90" s="82">
        <f t="shared" si="293"/>
        <v>0</v>
      </c>
      <c r="M90" s="82">
        <f t="shared" si="294"/>
        <v>0</v>
      </c>
      <c r="N90" s="83">
        <f t="shared" si="295"/>
        <v>0</v>
      </c>
      <c r="O90" s="82">
        <f t="shared" si="247"/>
        <v>0</v>
      </c>
      <c r="P90" s="82">
        <f t="shared" si="296"/>
        <v>0</v>
      </c>
      <c r="Q90" s="83">
        <f t="shared" si="297"/>
        <v>0</v>
      </c>
      <c r="R90" s="98"/>
      <c r="S90" s="82"/>
      <c r="T90" s="82"/>
      <c r="U90" s="82"/>
      <c r="V90" s="82"/>
      <c r="W90" s="82"/>
      <c r="X90" s="82"/>
      <c r="Y90" s="82"/>
      <c r="Z90" s="82"/>
      <c r="AA90" s="82"/>
      <c r="AB90" s="82"/>
      <c r="AC90" s="82"/>
      <c r="AD90" s="82"/>
      <c r="AE90" s="82">
        <v>0</v>
      </c>
      <c r="AF90" s="88">
        <f>SUMIF('2022 Budget Expenses Model'!$C:$C,'Summary by Department &amp; Categor'!$D90,'2022 Budget Expenses Model'!I:I)</f>
        <v>0</v>
      </c>
      <c r="AG90" s="88">
        <f>SUMIF('2022 Budget Expenses Model'!$C:$C,'Summary by Department &amp; Categor'!$D90,'2022 Budget Expenses Model'!J:J)</f>
        <v>0</v>
      </c>
      <c r="AH90" s="88">
        <f>SUMIF('2022 Budget Expenses Model'!$C:$C,'Summary by Department &amp; Categor'!$D90,'2022 Budget Expenses Model'!K:K)</f>
        <v>0</v>
      </c>
      <c r="AI90" s="88">
        <f>SUMIF('2022 Budget Expenses Model'!$C:$C,'Summary by Department &amp; Categor'!$D90,'2022 Budget Expenses Model'!L:L)</f>
        <v>0</v>
      </c>
      <c r="AJ90" s="88">
        <f>SUMIF('2022 Budget Expenses Model'!$C:$C,'Summary by Department &amp; Categor'!$D90,'2022 Budget Expenses Model'!M:M)</f>
        <v>0</v>
      </c>
      <c r="AK90" s="88">
        <f>SUMIF('2022 Budget Expenses Model'!$C:$C,'Summary by Department &amp; Categor'!$D90,'2022 Budget Expenses Model'!N:N)</f>
        <v>0</v>
      </c>
      <c r="AL90" s="88">
        <f>SUMIF('2022 Budget Expenses Model'!$C:$C,'Summary by Department &amp; Categor'!$D90,'2022 Budget Expenses Model'!O:O)</f>
        <v>0</v>
      </c>
      <c r="AM90" s="88">
        <f>SUMIF('2022 Budget Expenses Model'!$C:$C,'Summary by Department &amp; Categor'!$D90,'2022 Budget Expenses Model'!P:P)</f>
        <v>0</v>
      </c>
      <c r="AN90" s="88">
        <f>SUMIF('2022 Budget Expenses Model'!$C:$C,'Summary by Department &amp; Categor'!$D90,'2022 Budget Expenses Model'!Q:Q)</f>
        <v>0</v>
      </c>
      <c r="AO90" s="88">
        <f>SUMIF('2022 Budget Expenses Model'!$C:$C,'Summary by Department &amp; Categor'!$D90,'2022 Budget Expenses Model'!R:R)</f>
        <v>0</v>
      </c>
      <c r="AP90" s="88">
        <f>SUMIF('2022 Budget Expenses Model'!$C:$C,'Summary by Department &amp; Categor'!$D90,'2022 Budget Expenses Model'!S:S)</f>
        <v>0</v>
      </c>
      <c r="AQ90" s="88">
        <f>SUMIF('2022 Budget Expenses Model'!$C:$C,'Summary by Department &amp; Categor'!$D90,'2022 Budget Expenses Model'!T:T)</f>
        <v>0</v>
      </c>
      <c r="AR90" s="82">
        <f t="shared" si="250"/>
        <v>0</v>
      </c>
      <c r="AS90" s="82">
        <f t="shared" si="298"/>
        <v>0</v>
      </c>
      <c r="AT90" s="83">
        <f t="shared" si="299"/>
        <v>0</v>
      </c>
      <c r="AU90" s="82"/>
      <c r="AV90" s="82"/>
      <c r="AW90" s="82"/>
      <c r="AX90" s="82"/>
      <c r="AY90" s="82"/>
      <c r="AZ90" s="82"/>
      <c r="BA90" s="82"/>
      <c r="BB90" s="82"/>
      <c r="BC90" s="82"/>
      <c r="BD90" s="82"/>
      <c r="BE90" s="82"/>
      <c r="BF90" s="82"/>
      <c r="BG90" s="82">
        <f t="shared" si="253"/>
        <v>0</v>
      </c>
      <c r="BH90" s="82">
        <f t="shared" si="300"/>
        <v>0</v>
      </c>
      <c r="BI90" s="83">
        <f t="shared" si="301"/>
        <v>0</v>
      </c>
      <c r="BJ90" s="99"/>
      <c r="BK90" s="88">
        <f t="shared" si="302"/>
        <v>0</v>
      </c>
      <c r="BL90" s="100"/>
      <c r="BM90" s="101"/>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row>
    <row r="91" spans="2:150" s="87" customFormat="1" ht="15" hidden="1" outlineLevel="1" thickBot="1" x14ac:dyDescent="0.35">
      <c r="B91" s="197" t="s">
        <v>223</v>
      </c>
      <c r="C91" s="87">
        <v>8</v>
      </c>
      <c r="D91" s="87" t="str">
        <f t="shared" si="303"/>
        <v>088</v>
      </c>
      <c r="F91" s="13" t="s">
        <v>46</v>
      </c>
      <c r="G91" s="12"/>
      <c r="H91" s="82">
        <f t="shared" si="241"/>
        <v>0</v>
      </c>
      <c r="I91" s="82">
        <f t="shared" si="242"/>
        <v>0</v>
      </c>
      <c r="J91" s="82">
        <f t="shared" si="291"/>
        <v>0</v>
      </c>
      <c r="K91" s="83">
        <f t="shared" si="292"/>
        <v>0</v>
      </c>
      <c r="L91" s="82">
        <f t="shared" si="293"/>
        <v>0</v>
      </c>
      <c r="M91" s="82">
        <f t="shared" si="294"/>
        <v>0</v>
      </c>
      <c r="N91" s="83">
        <f t="shared" si="295"/>
        <v>0</v>
      </c>
      <c r="O91" s="82">
        <f t="shared" si="247"/>
        <v>0</v>
      </c>
      <c r="P91" s="82">
        <f t="shared" si="296"/>
        <v>0</v>
      </c>
      <c r="Q91" s="83">
        <f t="shared" si="297"/>
        <v>0</v>
      </c>
      <c r="R91" s="98"/>
      <c r="S91" s="82"/>
      <c r="T91" s="82"/>
      <c r="U91" s="82"/>
      <c r="V91" s="82"/>
      <c r="W91" s="82"/>
      <c r="X91" s="82"/>
      <c r="Y91" s="82"/>
      <c r="Z91" s="82"/>
      <c r="AA91" s="82"/>
      <c r="AB91" s="82"/>
      <c r="AC91" s="82"/>
      <c r="AD91" s="82"/>
      <c r="AE91" s="82">
        <v>0</v>
      </c>
      <c r="AF91" s="88">
        <f>SUMIF('2022 Budget Expenses Model'!$C:$C,'Summary by Department &amp; Categor'!$D91,'2022 Budget Expenses Model'!I:I)</f>
        <v>0</v>
      </c>
      <c r="AG91" s="88">
        <f>SUMIF('2022 Budget Expenses Model'!$C:$C,'Summary by Department &amp; Categor'!$D91,'2022 Budget Expenses Model'!J:J)</f>
        <v>0</v>
      </c>
      <c r="AH91" s="88">
        <f>SUMIF('2022 Budget Expenses Model'!$C:$C,'Summary by Department &amp; Categor'!$D91,'2022 Budget Expenses Model'!K:K)</f>
        <v>0</v>
      </c>
      <c r="AI91" s="88">
        <f>SUMIF('2022 Budget Expenses Model'!$C:$C,'Summary by Department &amp; Categor'!$D91,'2022 Budget Expenses Model'!L:L)</f>
        <v>0</v>
      </c>
      <c r="AJ91" s="88">
        <f>SUMIF('2022 Budget Expenses Model'!$C:$C,'Summary by Department &amp; Categor'!$D91,'2022 Budget Expenses Model'!M:M)</f>
        <v>0</v>
      </c>
      <c r="AK91" s="88">
        <f>SUMIF('2022 Budget Expenses Model'!$C:$C,'Summary by Department &amp; Categor'!$D91,'2022 Budget Expenses Model'!N:N)</f>
        <v>0</v>
      </c>
      <c r="AL91" s="88">
        <f>SUMIF('2022 Budget Expenses Model'!$C:$C,'Summary by Department &amp; Categor'!$D91,'2022 Budget Expenses Model'!O:O)</f>
        <v>0</v>
      </c>
      <c r="AM91" s="88">
        <f>SUMIF('2022 Budget Expenses Model'!$C:$C,'Summary by Department &amp; Categor'!$D91,'2022 Budget Expenses Model'!P:P)</f>
        <v>0</v>
      </c>
      <c r="AN91" s="88">
        <f>SUMIF('2022 Budget Expenses Model'!$C:$C,'Summary by Department &amp; Categor'!$D91,'2022 Budget Expenses Model'!Q:Q)</f>
        <v>0</v>
      </c>
      <c r="AO91" s="88">
        <f>SUMIF('2022 Budget Expenses Model'!$C:$C,'Summary by Department &amp; Categor'!$D91,'2022 Budget Expenses Model'!R:R)</f>
        <v>0</v>
      </c>
      <c r="AP91" s="88">
        <f>SUMIF('2022 Budget Expenses Model'!$C:$C,'Summary by Department &amp; Categor'!$D91,'2022 Budget Expenses Model'!S:S)</f>
        <v>0</v>
      </c>
      <c r="AQ91" s="88">
        <f>SUMIF('2022 Budget Expenses Model'!$C:$C,'Summary by Department &amp; Categor'!$D91,'2022 Budget Expenses Model'!T:T)</f>
        <v>0</v>
      </c>
      <c r="AR91" s="82">
        <f t="shared" si="250"/>
        <v>0</v>
      </c>
      <c r="AS91" s="82">
        <f t="shared" si="298"/>
        <v>0</v>
      </c>
      <c r="AT91" s="83">
        <f t="shared" si="299"/>
        <v>0</v>
      </c>
      <c r="AU91" s="82"/>
      <c r="AV91" s="82"/>
      <c r="AW91" s="82"/>
      <c r="AX91" s="82"/>
      <c r="AY91" s="82"/>
      <c r="AZ91" s="82"/>
      <c r="BA91" s="82"/>
      <c r="BB91" s="82"/>
      <c r="BC91" s="82"/>
      <c r="BD91" s="82"/>
      <c r="BE91" s="82"/>
      <c r="BF91" s="82"/>
      <c r="BG91" s="82">
        <f t="shared" si="253"/>
        <v>0</v>
      </c>
      <c r="BH91" s="82">
        <f t="shared" si="300"/>
        <v>0</v>
      </c>
      <c r="BI91" s="83">
        <f t="shared" si="301"/>
        <v>0</v>
      </c>
      <c r="BJ91" s="99"/>
      <c r="BK91" s="88">
        <f t="shared" si="302"/>
        <v>0</v>
      </c>
      <c r="BL91" s="100"/>
      <c r="BM91" s="101"/>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row>
    <row r="92" spans="2:150" s="94" customFormat="1" ht="15" collapsed="1" thickBot="1" x14ac:dyDescent="0.35">
      <c r="F92" s="13"/>
      <c r="G92" s="14"/>
      <c r="H92" s="82"/>
      <c r="I92" s="82"/>
      <c r="J92" s="82"/>
      <c r="K92" s="83"/>
      <c r="L92" s="82"/>
      <c r="M92" s="82"/>
      <c r="N92" s="83"/>
      <c r="O92" s="82"/>
      <c r="P92" s="82"/>
      <c r="Q92" s="83"/>
      <c r="R92" s="98"/>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3"/>
      <c r="AU92" s="82"/>
      <c r="AV92" s="82"/>
      <c r="AW92" s="82"/>
      <c r="AX92" s="82"/>
      <c r="AY92" s="82"/>
      <c r="AZ92" s="82"/>
      <c r="BA92" s="82"/>
      <c r="BB92" s="82"/>
      <c r="BC92" s="82"/>
      <c r="BD92" s="82"/>
      <c r="BE92" s="82"/>
      <c r="BF92" s="82"/>
      <c r="BG92" s="82"/>
      <c r="BH92" s="82"/>
      <c r="BI92" s="83"/>
      <c r="BJ92" s="99"/>
      <c r="BK92" s="82"/>
      <c r="BL92" s="104"/>
      <c r="BM92" s="101"/>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row>
    <row r="93" spans="2:150" s="94" customFormat="1" ht="15" thickBot="1" x14ac:dyDescent="0.35">
      <c r="F93" s="11" t="s">
        <v>113</v>
      </c>
      <c r="G93" s="14"/>
      <c r="H93" s="82">
        <f>INDEX($S93:$AD93,MATCH($H$9,$S$9:$AD$9,0))</f>
        <v>0</v>
      </c>
      <c r="I93" s="82">
        <f t="shared" si="242"/>
        <v>139244.41666666669</v>
      </c>
      <c r="J93" s="82">
        <f t="shared" si="291"/>
        <v>-139244.41666666669</v>
      </c>
      <c r="K93" s="83">
        <f t="shared" si="292"/>
        <v>-1</v>
      </c>
      <c r="L93" s="82">
        <f t="shared" si="293"/>
        <v>0</v>
      </c>
      <c r="M93" s="82">
        <f t="shared" si="294"/>
        <v>0</v>
      </c>
      <c r="N93" s="83">
        <f t="shared" si="295"/>
        <v>0</v>
      </c>
      <c r="O93" s="82">
        <f t="shared" si="247"/>
        <v>0</v>
      </c>
      <c r="P93" s="82">
        <f t="shared" si="296"/>
        <v>0</v>
      </c>
      <c r="Q93" s="83">
        <f t="shared" si="297"/>
        <v>0</v>
      </c>
      <c r="R93" s="98"/>
      <c r="S93" s="82">
        <f>S20+S29+S38+S47+S56+S65+S74+S83</f>
        <v>0</v>
      </c>
      <c r="T93" s="82">
        <f t="shared" ref="T93:AQ93" si="304">T20+T29+T38+T47+T56+T65+T74+T83</f>
        <v>0</v>
      </c>
      <c r="U93" s="82">
        <f t="shared" si="304"/>
        <v>0</v>
      </c>
      <c r="V93" s="82">
        <f t="shared" si="304"/>
        <v>0</v>
      </c>
      <c r="W93" s="82">
        <f t="shared" si="304"/>
        <v>0</v>
      </c>
      <c r="X93" s="82">
        <f t="shared" si="304"/>
        <v>0</v>
      </c>
      <c r="Y93" s="82">
        <f t="shared" si="304"/>
        <v>0</v>
      </c>
      <c r="Z93" s="82">
        <f t="shared" si="304"/>
        <v>0</v>
      </c>
      <c r="AA93" s="82">
        <f t="shared" si="304"/>
        <v>0</v>
      </c>
      <c r="AB93" s="82">
        <f t="shared" si="304"/>
        <v>0</v>
      </c>
      <c r="AC93" s="82">
        <f t="shared" si="304"/>
        <v>0</v>
      </c>
      <c r="AD93" s="82">
        <f t="shared" si="304"/>
        <v>0</v>
      </c>
      <c r="AE93" s="82">
        <f t="shared" si="304"/>
        <v>560313.88</v>
      </c>
      <c r="AF93" s="82">
        <f t="shared" si="304"/>
        <v>77382.083333333343</v>
      </c>
      <c r="AG93" s="82">
        <f t="shared" si="304"/>
        <v>85890.083333333343</v>
      </c>
      <c r="AH93" s="82">
        <f t="shared" si="304"/>
        <v>97285.416666666672</v>
      </c>
      <c r="AI93" s="82">
        <f t="shared" si="304"/>
        <v>86285.416666666672</v>
      </c>
      <c r="AJ93" s="82">
        <f t="shared" si="304"/>
        <v>95335.416666666672</v>
      </c>
      <c r="AK93" s="82">
        <f t="shared" si="304"/>
        <v>173785.41666666669</v>
      </c>
      <c r="AL93" s="82">
        <f t="shared" si="304"/>
        <v>105420.41666666667</v>
      </c>
      <c r="AM93" s="82">
        <f t="shared" si="304"/>
        <v>95835.416666666672</v>
      </c>
      <c r="AN93" s="82">
        <f t="shared" si="304"/>
        <v>160470.41666666669</v>
      </c>
      <c r="AO93" s="82">
        <f t="shared" si="304"/>
        <v>139244.41666666669</v>
      </c>
      <c r="AP93" s="82">
        <f t="shared" si="304"/>
        <v>162835.41666666669</v>
      </c>
      <c r="AQ93" s="82">
        <f t="shared" si="304"/>
        <v>207935.41666666669</v>
      </c>
      <c r="AR93" s="82">
        <f>AR20+AR29+AR38+AR47+AR56+AR65+AR74+AR83</f>
        <v>1487705.3333333333</v>
      </c>
      <c r="AS93" s="82">
        <f t="shared" si="298"/>
        <v>-927391.45333333325</v>
      </c>
      <c r="AT93" s="83">
        <f t="shared" si="299"/>
        <v>-0.6233703896560161</v>
      </c>
      <c r="AU93" s="82">
        <f>AU20+AU29+AU38+AU47+AU56+AU65+AU74+AU83</f>
        <v>0</v>
      </c>
      <c r="AV93" s="82">
        <f t="shared" ref="AV93:BF93" si="305">AV20+AV29+AV38+AV47+AV56+AV65+AV74+AV83</f>
        <v>0</v>
      </c>
      <c r="AW93" s="82">
        <f t="shared" si="305"/>
        <v>0</v>
      </c>
      <c r="AX93" s="82">
        <f t="shared" si="305"/>
        <v>0</v>
      </c>
      <c r="AY93" s="82">
        <f t="shared" si="305"/>
        <v>0</v>
      </c>
      <c r="AZ93" s="82">
        <f t="shared" si="305"/>
        <v>0</v>
      </c>
      <c r="BA93" s="82">
        <f t="shared" si="305"/>
        <v>0</v>
      </c>
      <c r="BB93" s="82">
        <f t="shared" si="305"/>
        <v>0</v>
      </c>
      <c r="BC93" s="82">
        <f t="shared" si="305"/>
        <v>0</v>
      </c>
      <c r="BD93" s="82">
        <f t="shared" si="305"/>
        <v>0</v>
      </c>
      <c r="BE93" s="82">
        <f t="shared" si="305"/>
        <v>0</v>
      </c>
      <c r="BF93" s="82">
        <f t="shared" si="305"/>
        <v>0</v>
      </c>
      <c r="BG93" s="82">
        <f t="shared" si="253"/>
        <v>0</v>
      </c>
      <c r="BH93" s="82">
        <f t="shared" ref="BH93" si="306">AE93-BG93</f>
        <v>560313.88</v>
      </c>
      <c r="BI93" s="83">
        <f t="shared" ref="BI93" si="307">IFERROR(BH93/BG93,0)</f>
        <v>0</v>
      </c>
      <c r="BJ93" s="99"/>
      <c r="BK93" s="82">
        <f>BK20+BK29+BK38+BK47+BK56+BK65+BK74+BK83</f>
        <v>1487705.3333333333</v>
      </c>
      <c r="BL93" s="104"/>
      <c r="BM93" s="101"/>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row>
    <row r="94" spans="2:150" s="81" customFormat="1" ht="15.75" customHeight="1" thickBot="1" x14ac:dyDescent="0.35">
      <c r="F94" s="79"/>
      <c r="G94" s="105"/>
      <c r="H94" s="274"/>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80"/>
      <c r="BM94" s="80"/>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row>
    <row r="95" spans="2:150" s="87" customFormat="1" ht="15" thickBot="1" x14ac:dyDescent="0.35">
      <c r="D95" s="87">
        <v>9</v>
      </c>
      <c r="F95" s="11" t="s">
        <v>112</v>
      </c>
      <c r="G95" s="12"/>
      <c r="H95" s="82">
        <f>INDEX($S95:$AD95,MATCH($H$9,$S$9:$AD$9,0))</f>
        <v>0</v>
      </c>
      <c r="I95" s="82">
        <f t="shared" si="242"/>
        <v>0</v>
      </c>
      <c r="J95" s="82">
        <f t="shared" ref="J95" si="308">H95-I95</f>
        <v>0</v>
      </c>
      <c r="K95" s="83">
        <f t="shared" ref="K95" si="309">IFERROR(J95/I95,0)</f>
        <v>0</v>
      </c>
      <c r="L95" s="82">
        <f t="shared" si="293"/>
        <v>0</v>
      </c>
      <c r="M95" s="82">
        <f t="shared" ref="M95" si="310">H95-L95</f>
        <v>0</v>
      </c>
      <c r="N95" s="83">
        <f t="shared" ref="N95" si="311">IFERROR(M95/L95,0)</f>
        <v>0</v>
      </c>
      <c r="O95" s="82">
        <f t="shared" si="247"/>
        <v>0</v>
      </c>
      <c r="P95" s="82">
        <f t="shared" ref="P95" si="312">H95-O95</f>
        <v>0</v>
      </c>
      <c r="Q95" s="83">
        <f t="shared" ref="Q95" si="313">IFERROR(P95/O95,0)</f>
        <v>0</v>
      </c>
      <c r="R95" s="84"/>
      <c r="S95" s="82">
        <f>S13</f>
        <v>0</v>
      </c>
      <c r="T95" s="82">
        <f t="shared" ref="T95:AD95" si="314">T13</f>
        <v>0</v>
      </c>
      <c r="U95" s="82">
        <f t="shared" si="314"/>
        <v>0</v>
      </c>
      <c r="V95" s="82">
        <f t="shared" si="314"/>
        <v>0</v>
      </c>
      <c r="W95" s="82">
        <f t="shared" si="314"/>
        <v>0</v>
      </c>
      <c r="X95" s="82">
        <f t="shared" si="314"/>
        <v>0</v>
      </c>
      <c r="Y95" s="82">
        <f t="shared" si="314"/>
        <v>0</v>
      </c>
      <c r="Z95" s="82">
        <f t="shared" si="314"/>
        <v>0</v>
      </c>
      <c r="AA95" s="82">
        <f t="shared" si="314"/>
        <v>0</v>
      </c>
      <c r="AB95" s="82">
        <f t="shared" si="314"/>
        <v>0</v>
      </c>
      <c r="AC95" s="82">
        <f t="shared" si="314"/>
        <v>0</v>
      </c>
      <c r="AD95" s="82">
        <f t="shared" si="314"/>
        <v>0</v>
      </c>
      <c r="AE95" s="82">
        <f>AE13</f>
        <v>713431.1</v>
      </c>
      <c r="AF95" s="82">
        <f t="shared" ref="AF95:AR95" si="315">AF13</f>
        <v>302395.40999999997</v>
      </c>
      <c r="AG95" s="82">
        <f t="shared" si="315"/>
        <v>276090</v>
      </c>
      <c r="AH95" s="82">
        <f t="shared" si="315"/>
        <v>300000</v>
      </c>
      <c r="AI95" s="82">
        <f t="shared" si="315"/>
        <v>300000</v>
      </c>
      <c r="AJ95" s="82">
        <f t="shared" si="315"/>
        <v>0</v>
      </c>
      <c r="AK95" s="82">
        <f t="shared" si="315"/>
        <v>0</v>
      </c>
      <c r="AL95" s="82">
        <f t="shared" si="315"/>
        <v>0</v>
      </c>
      <c r="AM95" s="82">
        <f t="shared" si="315"/>
        <v>0</v>
      </c>
      <c r="AN95" s="82">
        <f t="shared" si="315"/>
        <v>0</v>
      </c>
      <c r="AO95" s="82">
        <f t="shared" si="315"/>
        <v>0</v>
      </c>
      <c r="AP95" s="82">
        <f t="shared" si="315"/>
        <v>0</v>
      </c>
      <c r="AQ95" s="82">
        <f t="shared" si="315"/>
        <v>0</v>
      </c>
      <c r="AR95" s="82">
        <f t="shared" si="315"/>
        <v>1178485.4099999999</v>
      </c>
      <c r="AS95" s="82">
        <f>AE95-AR95</f>
        <v>-465054.30999999994</v>
      </c>
      <c r="AT95" s="83">
        <f t="shared" ref="AT95" si="316">IFERROR(AS95/AR95,0)</f>
        <v>-0.39462033730226664</v>
      </c>
      <c r="AU95" s="82"/>
      <c r="AV95" s="82"/>
      <c r="AW95" s="82"/>
      <c r="AX95" s="82"/>
      <c r="AY95" s="82"/>
      <c r="AZ95" s="82"/>
      <c r="BA95" s="82"/>
      <c r="BB95" s="82"/>
      <c r="BC95" s="82"/>
      <c r="BD95" s="82"/>
      <c r="BE95" s="82"/>
      <c r="BF95" s="82"/>
      <c r="BG95" s="82"/>
      <c r="BH95" s="82"/>
      <c r="BI95" s="83"/>
      <c r="BJ95" s="84"/>
      <c r="BK95" s="82">
        <f t="shared" ref="BK95" si="317">BK13</f>
        <v>1178485.4099999999</v>
      </c>
      <c r="BL95" s="85"/>
      <c r="BM95" s="86"/>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row>
    <row r="96" spans="2:150" s="94" customFormat="1" ht="15" thickBot="1" x14ac:dyDescent="0.35">
      <c r="F96" s="11" t="s">
        <v>113</v>
      </c>
      <c r="G96" s="14"/>
      <c r="H96" s="82">
        <f>INDEX($S96:$AD96,MATCH($H$9,$S$9:$AD$9,0))</f>
        <v>0</v>
      </c>
      <c r="I96" s="82">
        <f t="shared" si="242"/>
        <v>139244.41666666669</v>
      </c>
      <c r="J96" s="82">
        <f t="shared" ref="J96:J108" si="318">H96-I96</f>
        <v>-139244.41666666669</v>
      </c>
      <c r="K96" s="83">
        <f t="shared" ref="K96:K108" si="319">IFERROR(J96/I96,0)</f>
        <v>-1</v>
      </c>
      <c r="L96" s="82">
        <f t="shared" si="293"/>
        <v>0</v>
      </c>
      <c r="M96" s="82">
        <f t="shared" ref="M96:M108" si="320">H96-L96</f>
        <v>0</v>
      </c>
      <c r="N96" s="83">
        <f t="shared" ref="N96:N108" si="321">IFERROR(M96/L96,0)</f>
        <v>0</v>
      </c>
      <c r="O96" s="82">
        <f t="shared" si="247"/>
        <v>0</v>
      </c>
      <c r="P96" s="82">
        <f t="shared" ref="P96:P108" si="322">H96-O96</f>
        <v>0</v>
      </c>
      <c r="Q96" s="83">
        <f t="shared" ref="Q96:Q108" si="323">IFERROR(P96/O96,0)</f>
        <v>0</v>
      </c>
      <c r="R96" s="84"/>
      <c r="S96" s="82">
        <f>S93</f>
        <v>0</v>
      </c>
      <c r="T96" s="82">
        <f t="shared" ref="T96:AD96" si="324">T93</f>
        <v>0</v>
      </c>
      <c r="U96" s="82">
        <f t="shared" si="324"/>
        <v>0</v>
      </c>
      <c r="V96" s="82">
        <f t="shared" si="324"/>
        <v>0</v>
      </c>
      <c r="W96" s="82">
        <f t="shared" si="324"/>
        <v>0</v>
      </c>
      <c r="X96" s="82">
        <f t="shared" si="324"/>
        <v>0</v>
      </c>
      <c r="Y96" s="82">
        <f t="shared" si="324"/>
        <v>0</v>
      </c>
      <c r="Z96" s="82">
        <f t="shared" si="324"/>
        <v>0</v>
      </c>
      <c r="AA96" s="82">
        <f t="shared" si="324"/>
        <v>0</v>
      </c>
      <c r="AB96" s="82">
        <f t="shared" si="324"/>
        <v>0</v>
      </c>
      <c r="AC96" s="82">
        <f t="shared" si="324"/>
        <v>0</v>
      </c>
      <c r="AD96" s="82">
        <f t="shared" si="324"/>
        <v>0</v>
      </c>
      <c r="AE96" s="82">
        <f>AE93</f>
        <v>560313.88</v>
      </c>
      <c r="AF96" s="82">
        <f t="shared" ref="AF96:AR96" si="325">AF93</f>
        <v>77382.083333333343</v>
      </c>
      <c r="AG96" s="82">
        <f t="shared" si="325"/>
        <v>85890.083333333343</v>
      </c>
      <c r="AH96" s="82">
        <f t="shared" si="325"/>
        <v>97285.416666666672</v>
      </c>
      <c r="AI96" s="82">
        <f t="shared" si="325"/>
        <v>86285.416666666672</v>
      </c>
      <c r="AJ96" s="82">
        <f t="shared" si="325"/>
        <v>95335.416666666672</v>
      </c>
      <c r="AK96" s="82">
        <f t="shared" si="325"/>
        <v>173785.41666666669</v>
      </c>
      <c r="AL96" s="82">
        <f t="shared" si="325"/>
        <v>105420.41666666667</v>
      </c>
      <c r="AM96" s="82">
        <f t="shared" si="325"/>
        <v>95835.416666666672</v>
      </c>
      <c r="AN96" s="82">
        <f t="shared" si="325"/>
        <v>160470.41666666669</v>
      </c>
      <c r="AO96" s="82">
        <f t="shared" si="325"/>
        <v>139244.41666666669</v>
      </c>
      <c r="AP96" s="82">
        <f t="shared" si="325"/>
        <v>162835.41666666669</v>
      </c>
      <c r="AQ96" s="82">
        <f t="shared" si="325"/>
        <v>207935.41666666669</v>
      </c>
      <c r="AR96" s="82">
        <f t="shared" si="325"/>
        <v>1487705.3333333333</v>
      </c>
      <c r="AS96" s="82">
        <f t="shared" ref="AS96:AS107" si="326">AE96-AR96</f>
        <v>-927391.45333333325</v>
      </c>
      <c r="AT96" s="83">
        <f t="shared" ref="AT96:AT107" si="327">IFERROR(AS96/AR96,0)</f>
        <v>-0.6233703896560161</v>
      </c>
      <c r="AU96" s="82"/>
      <c r="AV96" s="82"/>
      <c r="AW96" s="82"/>
      <c r="AX96" s="82"/>
      <c r="AY96" s="82"/>
      <c r="AZ96" s="82"/>
      <c r="BA96" s="82"/>
      <c r="BB96" s="82"/>
      <c r="BC96" s="82"/>
      <c r="BD96" s="82"/>
      <c r="BE96" s="82"/>
      <c r="BF96" s="82"/>
      <c r="BG96" s="82"/>
      <c r="BH96" s="82"/>
      <c r="BI96" s="83"/>
      <c r="BJ96" s="84"/>
      <c r="BK96" s="82">
        <f t="shared" ref="BK96" si="328">BK93</f>
        <v>1487705.3333333333</v>
      </c>
      <c r="BL96" s="85"/>
      <c r="BM96" s="86"/>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row>
    <row r="97" spans="4:150" s="94" customFormat="1" ht="15" thickBot="1" x14ac:dyDescent="0.35">
      <c r="F97" s="11" t="s">
        <v>89</v>
      </c>
      <c r="G97" s="14"/>
      <c r="H97" s="82">
        <f>INDEX($S97:$AD97,MATCH($H$9,$S$9:$AD$9,0))</f>
        <v>0</v>
      </c>
      <c r="I97" s="82">
        <f t="shared" si="242"/>
        <v>-139244.41666666669</v>
      </c>
      <c r="J97" s="82">
        <f t="shared" si="318"/>
        <v>139244.41666666669</v>
      </c>
      <c r="K97" s="83">
        <f t="shared" si="319"/>
        <v>-1</v>
      </c>
      <c r="L97" s="82">
        <f t="shared" si="293"/>
        <v>0</v>
      </c>
      <c r="M97" s="82">
        <f t="shared" si="320"/>
        <v>0</v>
      </c>
      <c r="N97" s="83">
        <f t="shared" si="321"/>
        <v>0</v>
      </c>
      <c r="O97" s="82">
        <f t="shared" si="247"/>
        <v>0</v>
      </c>
      <c r="P97" s="82">
        <f t="shared" si="322"/>
        <v>0</v>
      </c>
      <c r="Q97" s="83">
        <f t="shared" si="323"/>
        <v>0</v>
      </c>
      <c r="R97" s="84"/>
      <c r="S97" s="82">
        <f>S95-S96</f>
        <v>0</v>
      </c>
      <c r="T97" s="82">
        <f t="shared" ref="T97:AF97" si="329">T95-T96</f>
        <v>0</v>
      </c>
      <c r="U97" s="82">
        <f t="shared" si="329"/>
        <v>0</v>
      </c>
      <c r="V97" s="82">
        <f t="shared" si="329"/>
        <v>0</v>
      </c>
      <c r="W97" s="82">
        <f t="shared" si="329"/>
        <v>0</v>
      </c>
      <c r="X97" s="82">
        <f t="shared" si="329"/>
        <v>0</v>
      </c>
      <c r="Y97" s="82">
        <f t="shared" si="329"/>
        <v>0</v>
      </c>
      <c r="Z97" s="82">
        <f t="shared" si="329"/>
        <v>0</v>
      </c>
      <c r="AA97" s="82">
        <f t="shared" si="329"/>
        <v>0</v>
      </c>
      <c r="AB97" s="82">
        <f t="shared" si="329"/>
        <v>0</v>
      </c>
      <c r="AC97" s="82">
        <f t="shared" si="329"/>
        <v>0</v>
      </c>
      <c r="AD97" s="82">
        <f t="shared" si="329"/>
        <v>0</v>
      </c>
      <c r="AE97" s="82">
        <f>AE95-AE96</f>
        <v>153117.21999999997</v>
      </c>
      <c r="AF97" s="82">
        <f t="shared" si="329"/>
        <v>225013.32666666663</v>
      </c>
      <c r="AG97" s="82">
        <f t="shared" ref="AG97" si="330">AG95-AG96</f>
        <v>190199.91666666666</v>
      </c>
      <c r="AH97" s="82">
        <f t="shared" ref="AH97" si="331">AH95-AH96</f>
        <v>202714.58333333331</v>
      </c>
      <c r="AI97" s="82">
        <f t="shared" ref="AI97" si="332">AI95-AI96</f>
        <v>213714.58333333331</v>
      </c>
      <c r="AJ97" s="82">
        <f t="shared" ref="AJ97" si="333">AJ95-AJ96</f>
        <v>-95335.416666666672</v>
      </c>
      <c r="AK97" s="82">
        <f t="shared" ref="AK97" si="334">AK95-AK96</f>
        <v>-173785.41666666669</v>
      </c>
      <c r="AL97" s="82">
        <f t="shared" ref="AL97" si="335">AL95-AL96</f>
        <v>-105420.41666666667</v>
      </c>
      <c r="AM97" s="82">
        <f t="shared" ref="AM97" si="336">AM95-AM96</f>
        <v>-95835.416666666672</v>
      </c>
      <c r="AN97" s="82">
        <f t="shared" ref="AN97" si="337">AN95-AN96</f>
        <v>-160470.41666666669</v>
      </c>
      <c r="AO97" s="82">
        <f t="shared" ref="AO97" si="338">AO95-AO96</f>
        <v>-139244.41666666669</v>
      </c>
      <c r="AP97" s="82">
        <f t="shared" ref="AP97" si="339">AP95-AP96</f>
        <v>-162835.41666666669</v>
      </c>
      <c r="AQ97" s="82">
        <f t="shared" ref="AQ97" si="340">AQ95-AQ96</f>
        <v>-207935.41666666669</v>
      </c>
      <c r="AR97" s="82">
        <f t="shared" ref="AR97" si="341">AR95-AR96</f>
        <v>-309219.92333333334</v>
      </c>
      <c r="AS97" s="82">
        <f t="shared" si="326"/>
        <v>462337.14333333331</v>
      </c>
      <c r="AT97" s="83">
        <f t="shared" si="327"/>
        <v>-1.4951725566367935</v>
      </c>
      <c r="AU97" s="82"/>
      <c r="AV97" s="82"/>
      <c r="AW97" s="82"/>
      <c r="AX97" s="82"/>
      <c r="AY97" s="82"/>
      <c r="AZ97" s="82"/>
      <c r="BA97" s="82"/>
      <c r="BB97" s="82"/>
      <c r="BC97" s="82"/>
      <c r="BD97" s="82"/>
      <c r="BE97" s="82"/>
      <c r="BF97" s="82"/>
      <c r="BG97" s="82"/>
      <c r="BH97" s="82"/>
      <c r="BI97" s="83"/>
      <c r="BJ97" s="84"/>
      <c r="BK97" s="82">
        <f t="shared" ref="BK97" si="342">BK95-BK96</f>
        <v>-309219.92333333334</v>
      </c>
      <c r="BL97" s="85"/>
      <c r="BM97" s="86"/>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row>
    <row r="98" spans="4:150" s="94" customFormat="1" ht="15" thickBot="1" x14ac:dyDescent="0.35">
      <c r="F98" s="11"/>
      <c r="G98" s="14"/>
      <c r="H98" s="88"/>
      <c r="I98" s="88"/>
      <c r="J98" s="82"/>
      <c r="K98" s="83"/>
      <c r="L98" s="82"/>
      <c r="M98" s="82"/>
      <c r="N98" s="83"/>
      <c r="O98" s="82"/>
      <c r="P98" s="82"/>
      <c r="Q98" s="83"/>
      <c r="R98" s="91"/>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2"/>
      <c r="AT98" s="83"/>
      <c r="AU98" s="88"/>
      <c r="AV98" s="88"/>
      <c r="AW98" s="88"/>
      <c r="AX98" s="88"/>
      <c r="AY98" s="88"/>
      <c r="AZ98" s="88"/>
      <c r="BA98" s="88"/>
      <c r="BB98" s="88"/>
      <c r="BC98" s="88"/>
      <c r="BD98" s="88"/>
      <c r="BE98" s="88"/>
      <c r="BF98" s="88"/>
      <c r="BG98" s="88"/>
      <c r="BH98" s="88"/>
      <c r="BI98" s="90"/>
      <c r="BJ98" s="91"/>
      <c r="BK98" s="88"/>
      <c r="BL98" s="92"/>
      <c r="BM98" s="93"/>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row>
    <row r="99" spans="4:150" s="94" customFormat="1" ht="15" thickBot="1" x14ac:dyDescent="0.35">
      <c r="F99" s="11" t="s">
        <v>444</v>
      </c>
      <c r="G99" s="14"/>
      <c r="H99" s="88"/>
      <c r="I99" s="88"/>
      <c r="J99" s="82"/>
      <c r="K99" s="83"/>
      <c r="L99" s="82"/>
      <c r="M99" s="82"/>
      <c r="N99" s="83"/>
      <c r="O99" s="82"/>
      <c r="P99" s="82"/>
      <c r="Q99" s="83"/>
      <c r="R99" s="91"/>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2"/>
      <c r="AT99" s="83"/>
      <c r="AU99" s="88"/>
      <c r="AV99" s="88"/>
      <c r="AW99" s="88"/>
      <c r="AX99" s="88"/>
      <c r="AY99" s="88"/>
      <c r="AZ99" s="88"/>
      <c r="BA99" s="88"/>
      <c r="BB99" s="88"/>
      <c r="BC99" s="88"/>
      <c r="BD99" s="88"/>
      <c r="BE99" s="88"/>
      <c r="BF99" s="88"/>
      <c r="BG99" s="88"/>
      <c r="BH99" s="88"/>
      <c r="BI99" s="90"/>
      <c r="BJ99" s="91"/>
      <c r="BK99" s="88"/>
      <c r="BL99" s="92"/>
      <c r="BM99" s="93"/>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row>
    <row r="100" spans="4:150" s="87" customFormat="1" ht="15" thickBot="1" x14ac:dyDescent="0.35">
      <c r="D100" s="87">
        <v>2</v>
      </c>
      <c r="F100" s="13" t="s">
        <v>233</v>
      </c>
      <c r="G100" s="12"/>
      <c r="H100" s="88">
        <f>INDEX($S100:$AD100,MATCH($H$9,$S$9:$AD$9,0))</f>
        <v>0</v>
      </c>
      <c r="I100" s="88">
        <f t="shared" ref="I100:I107" si="343">INDEX($AF100:$AQ100,MATCH($I$9,$AF$9:$AQ$9,0))</f>
        <v>82166.666666666672</v>
      </c>
      <c r="J100" s="88">
        <f t="shared" si="318"/>
        <v>-82166.666666666672</v>
      </c>
      <c r="K100" s="90">
        <f t="shared" si="319"/>
        <v>-1</v>
      </c>
      <c r="L100" s="88">
        <f t="shared" si="293"/>
        <v>0</v>
      </c>
      <c r="M100" s="88">
        <f t="shared" si="320"/>
        <v>0</v>
      </c>
      <c r="N100" s="90">
        <f t="shared" si="321"/>
        <v>0</v>
      </c>
      <c r="O100" s="88">
        <f t="shared" si="247"/>
        <v>0</v>
      </c>
      <c r="P100" s="88">
        <f t="shared" si="322"/>
        <v>0</v>
      </c>
      <c r="Q100" s="90">
        <f t="shared" si="323"/>
        <v>0</v>
      </c>
      <c r="R100" s="84"/>
      <c r="S100" s="88">
        <f>S21+S30+S39+S48+S57+S66+S75+S84</f>
        <v>0</v>
      </c>
      <c r="T100" s="88">
        <f t="shared" ref="T100:AD100" si="344">T21+T30+T39+T48+T57+T66+T75+T84</f>
        <v>0</v>
      </c>
      <c r="U100" s="88">
        <f t="shared" si="344"/>
        <v>0</v>
      </c>
      <c r="V100" s="88">
        <f t="shared" si="344"/>
        <v>0</v>
      </c>
      <c r="W100" s="88">
        <f t="shared" si="344"/>
        <v>0</v>
      </c>
      <c r="X100" s="88">
        <f t="shared" si="344"/>
        <v>0</v>
      </c>
      <c r="Y100" s="88">
        <f t="shared" si="344"/>
        <v>0</v>
      </c>
      <c r="Z100" s="88">
        <f t="shared" si="344"/>
        <v>0</v>
      </c>
      <c r="AA100" s="88">
        <f t="shared" si="344"/>
        <v>0</v>
      </c>
      <c r="AB100" s="88">
        <f t="shared" si="344"/>
        <v>0</v>
      </c>
      <c r="AC100" s="88">
        <f t="shared" si="344"/>
        <v>0</v>
      </c>
      <c r="AD100" s="88">
        <f t="shared" si="344"/>
        <v>0</v>
      </c>
      <c r="AE100" s="88">
        <f>AE21+AE30+AE39+AE48+AE57+AE66+AE75+AE84</f>
        <v>367782.04000000004</v>
      </c>
      <c r="AF100" s="88">
        <f t="shared" ref="AF100:AR100" si="345">AF21+AF30+AF39+AF48+AF57+AF66+AF75+AF84</f>
        <v>62833.333333333336</v>
      </c>
      <c r="AG100" s="88">
        <f t="shared" si="345"/>
        <v>62833.333333333336</v>
      </c>
      <c r="AH100" s="88">
        <f t="shared" si="345"/>
        <v>71166.666666666672</v>
      </c>
      <c r="AI100" s="88">
        <f t="shared" si="345"/>
        <v>71166.666666666672</v>
      </c>
      <c r="AJ100" s="88">
        <f t="shared" si="345"/>
        <v>81166.666666666672</v>
      </c>
      <c r="AK100" s="88">
        <f t="shared" si="345"/>
        <v>81166.666666666672</v>
      </c>
      <c r="AL100" s="88">
        <f t="shared" si="345"/>
        <v>81166.666666666672</v>
      </c>
      <c r="AM100" s="88">
        <f t="shared" si="345"/>
        <v>81166.666666666672</v>
      </c>
      <c r="AN100" s="88">
        <f t="shared" si="345"/>
        <v>82166.666666666672</v>
      </c>
      <c r="AO100" s="88">
        <f t="shared" si="345"/>
        <v>82166.666666666672</v>
      </c>
      <c r="AP100" s="88">
        <f t="shared" si="345"/>
        <v>82166.666666666672</v>
      </c>
      <c r="AQ100" s="88">
        <f t="shared" si="345"/>
        <v>82166.666666666672</v>
      </c>
      <c r="AR100" s="82">
        <f t="shared" si="345"/>
        <v>921333.33333333326</v>
      </c>
      <c r="AS100" s="82">
        <f t="shared" si="326"/>
        <v>-553551.29333333322</v>
      </c>
      <c r="AT100" s="83">
        <f t="shared" si="327"/>
        <v>-0.60081544138929077</v>
      </c>
      <c r="AU100" s="82"/>
      <c r="AV100" s="82"/>
      <c r="AW100" s="82"/>
      <c r="AX100" s="82"/>
      <c r="AY100" s="82"/>
      <c r="AZ100" s="82"/>
      <c r="BA100" s="82"/>
      <c r="BB100" s="82"/>
      <c r="BC100" s="82"/>
      <c r="BD100" s="82"/>
      <c r="BE100" s="82"/>
      <c r="BF100" s="82"/>
      <c r="BG100" s="82"/>
      <c r="BH100" s="82"/>
      <c r="BI100" s="83"/>
      <c r="BJ100" s="84"/>
      <c r="BK100" s="88">
        <f t="shared" ref="BK100" si="346">BK21+BK30+BK39+BK48+BK57+BK66+BK75+BK84</f>
        <v>921333.33333333326</v>
      </c>
      <c r="BL100" s="85"/>
      <c r="BM100" s="86"/>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row>
    <row r="101" spans="4:150" s="87" customFormat="1" ht="15" thickBot="1" x14ac:dyDescent="0.35">
      <c r="D101" s="87">
        <v>1</v>
      </c>
      <c r="F101" s="13" t="s">
        <v>440</v>
      </c>
      <c r="G101" s="12"/>
      <c r="H101" s="88">
        <f t="shared" ref="H101:H107" si="347">INDEX($S101:$AD101,MATCH($H$9,$S$9:$AD$9,0))</f>
        <v>0</v>
      </c>
      <c r="I101" s="88">
        <f t="shared" si="343"/>
        <v>27190</v>
      </c>
      <c r="J101" s="88">
        <f t="shared" si="318"/>
        <v>-27190</v>
      </c>
      <c r="K101" s="90">
        <f t="shared" si="319"/>
        <v>-1</v>
      </c>
      <c r="L101" s="88">
        <f t="shared" si="293"/>
        <v>0</v>
      </c>
      <c r="M101" s="88">
        <f t="shared" si="320"/>
        <v>0</v>
      </c>
      <c r="N101" s="90">
        <f t="shared" si="321"/>
        <v>0</v>
      </c>
      <c r="O101" s="88">
        <f t="shared" si="247"/>
        <v>0</v>
      </c>
      <c r="P101" s="88">
        <f t="shared" si="322"/>
        <v>0</v>
      </c>
      <c r="Q101" s="90">
        <f t="shared" si="323"/>
        <v>0</v>
      </c>
      <c r="R101" s="84"/>
      <c r="S101" s="88">
        <f t="shared" ref="S101:AD107" si="348">S22+S31+S40+S49+S58+S67+S76+S85</f>
        <v>0</v>
      </c>
      <c r="T101" s="88">
        <f t="shared" si="348"/>
        <v>0</v>
      </c>
      <c r="U101" s="88">
        <f t="shared" si="348"/>
        <v>0</v>
      </c>
      <c r="V101" s="88">
        <f t="shared" si="348"/>
        <v>0</v>
      </c>
      <c r="W101" s="88">
        <f t="shared" si="348"/>
        <v>0</v>
      </c>
      <c r="X101" s="88">
        <f t="shared" si="348"/>
        <v>0</v>
      </c>
      <c r="Y101" s="88">
        <f t="shared" si="348"/>
        <v>0</v>
      </c>
      <c r="Z101" s="88">
        <f t="shared" si="348"/>
        <v>0</v>
      </c>
      <c r="AA101" s="88">
        <f t="shared" si="348"/>
        <v>0</v>
      </c>
      <c r="AB101" s="88">
        <f t="shared" si="348"/>
        <v>0</v>
      </c>
      <c r="AC101" s="88">
        <f t="shared" si="348"/>
        <v>0</v>
      </c>
      <c r="AD101" s="88">
        <f t="shared" si="348"/>
        <v>0</v>
      </c>
      <c r="AE101" s="88">
        <f t="shared" ref="AE101:AF101" si="349">AE22+AE31+AE40+AE49+AE58+AE67+AE76+AE85</f>
        <v>19155.720000000005</v>
      </c>
      <c r="AF101" s="88">
        <f t="shared" si="349"/>
        <v>0</v>
      </c>
      <c r="AG101" s="88">
        <f t="shared" ref="AG101:AR101" si="350">AG22+AG31+AG40+AG49+AG58+AG67+AG76+AG85</f>
        <v>7080</v>
      </c>
      <c r="AH101" s="88">
        <f t="shared" si="350"/>
        <v>0</v>
      </c>
      <c r="AI101" s="88">
        <f t="shared" si="350"/>
        <v>0</v>
      </c>
      <c r="AJ101" s="88">
        <f t="shared" si="350"/>
        <v>0</v>
      </c>
      <c r="AK101" s="88">
        <f t="shared" si="350"/>
        <v>20000</v>
      </c>
      <c r="AL101" s="88">
        <f t="shared" si="350"/>
        <v>7850</v>
      </c>
      <c r="AM101" s="88">
        <f t="shared" si="350"/>
        <v>0</v>
      </c>
      <c r="AN101" s="88">
        <f t="shared" si="350"/>
        <v>7850</v>
      </c>
      <c r="AO101" s="88">
        <f t="shared" si="350"/>
        <v>27190</v>
      </c>
      <c r="AP101" s="88">
        <f t="shared" si="350"/>
        <v>0</v>
      </c>
      <c r="AQ101" s="88">
        <f t="shared" si="350"/>
        <v>0</v>
      </c>
      <c r="AR101" s="82">
        <f t="shared" si="350"/>
        <v>69970</v>
      </c>
      <c r="AS101" s="82">
        <f t="shared" si="326"/>
        <v>-50814.28</v>
      </c>
      <c r="AT101" s="83">
        <f t="shared" si="327"/>
        <v>-0.72622952694011722</v>
      </c>
      <c r="AU101" s="82"/>
      <c r="AV101" s="82"/>
      <c r="AW101" s="82"/>
      <c r="AX101" s="82"/>
      <c r="AY101" s="82"/>
      <c r="AZ101" s="82"/>
      <c r="BA101" s="82"/>
      <c r="BB101" s="82"/>
      <c r="BC101" s="82"/>
      <c r="BD101" s="82"/>
      <c r="BE101" s="82"/>
      <c r="BF101" s="82"/>
      <c r="BG101" s="82"/>
      <c r="BH101" s="82"/>
      <c r="BI101" s="83"/>
      <c r="BJ101" s="84"/>
      <c r="BK101" s="88">
        <f t="shared" ref="BK101" si="351">BK22+BK31+BK40+BK49+BK58+BK67+BK76+BK85</f>
        <v>69970</v>
      </c>
      <c r="BL101" s="85"/>
      <c r="BM101" s="86"/>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row>
    <row r="102" spans="4:150" s="87" customFormat="1" ht="15" thickBot="1" x14ac:dyDescent="0.35">
      <c r="D102" s="87">
        <v>3</v>
      </c>
      <c r="F102" s="13" t="s">
        <v>238</v>
      </c>
      <c r="G102" s="12"/>
      <c r="H102" s="88">
        <f t="shared" si="347"/>
        <v>0</v>
      </c>
      <c r="I102" s="88">
        <f t="shared" si="343"/>
        <v>12425</v>
      </c>
      <c r="J102" s="88">
        <f t="shared" si="318"/>
        <v>-12425</v>
      </c>
      <c r="K102" s="90">
        <f t="shared" si="319"/>
        <v>-1</v>
      </c>
      <c r="L102" s="88">
        <f t="shared" si="293"/>
        <v>0</v>
      </c>
      <c r="M102" s="88">
        <f t="shared" si="320"/>
        <v>0</v>
      </c>
      <c r="N102" s="90">
        <f t="shared" si="321"/>
        <v>0</v>
      </c>
      <c r="O102" s="88">
        <f t="shared" si="247"/>
        <v>0</v>
      </c>
      <c r="P102" s="88">
        <f t="shared" si="322"/>
        <v>0</v>
      </c>
      <c r="Q102" s="90">
        <f t="shared" si="323"/>
        <v>0</v>
      </c>
      <c r="R102" s="84"/>
      <c r="S102" s="88">
        <f t="shared" si="348"/>
        <v>0</v>
      </c>
      <c r="T102" s="88">
        <f t="shared" si="348"/>
        <v>0</v>
      </c>
      <c r="U102" s="88">
        <f t="shared" si="348"/>
        <v>0</v>
      </c>
      <c r="V102" s="88">
        <f t="shared" si="348"/>
        <v>0</v>
      </c>
      <c r="W102" s="88">
        <f t="shared" si="348"/>
        <v>0</v>
      </c>
      <c r="X102" s="88">
        <f t="shared" si="348"/>
        <v>0</v>
      </c>
      <c r="Y102" s="88">
        <f t="shared" si="348"/>
        <v>0</v>
      </c>
      <c r="Z102" s="88">
        <f t="shared" si="348"/>
        <v>0</v>
      </c>
      <c r="AA102" s="88">
        <f t="shared" si="348"/>
        <v>0</v>
      </c>
      <c r="AB102" s="88">
        <f t="shared" si="348"/>
        <v>0</v>
      </c>
      <c r="AC102" s="88">
        <f t="shared" si="348"/>
        <v>0</v>
      </c>
      <c r="AD102" s="88">
        <f t="shared" si="348"/>
        <v>0</v>
      </c>
      <c r="AE102" s="88">
        <f t="shared" ref="AE102:AF102" si="352">AE23+AE32+AE41+AE50+AE59+AE68+AE77+AE86</f>
        <v>55130.37</v>
      </c>
      <c r="AF102" s="88">
        <f t="shared" si="352"/>
        <v>11905</v>
      </c>
      <c r="AG102" s="88">
        <f t="shared" ref="AG102:AR102" si="353">AG23+AG32+AG41+AG50+AG59+AG68+AG77+AG86</f>
        <v>11525</v>
      </c>
      <c r="AH102" s="88">
        <f t="shared" si="353"/>
        <v>11925</v>
      </c>
      <c r="AI102" s="88">
        <f t="shared" si="353"/>
        <v>11925</v>
      </c>
      <c r="AJ102" s="88">
        <f t="shared" si="353"/>
        <v>11525</v>
      </c>
      <c r="AK102" s="88">
        <f t="shared" si="353"/>
        <v>17425</v>
      </c>
      <c r="AL102" s="88">
        <f t="shared" si="353"/>
        <v>12425</v>
      </c>
      <c r="AM102" s="88">
        <f t="shared" si="353"/>
        <v>12025</v>
      </c>
      <c r="AN102" s="88">
        <f t="shared" si="353"/>
        <v>17025</v>
      </c>
      <c r="AO102" s="88">
        <f t="shared" si="353"/>
        <v>12425</v>
      </c>
      <c r="AP102" s="88">
        <f t="shared" si="353"/>
        <v>17025</v>
      </c>
      <c r="AQ102" s="88">
        <f t="shared" si="353"/>
        <v>22025</v>
      </c>
      <c r="AR102" s="82">
        <f t="shared" si="353"/>
        <v>169180</v>
      </c>
      <c r="AS102" s="82">
        <f t="shared" si="326"/>
        <v>-114049.63</v>
      </c>
      <c r="AT102" s="83">
        <f t="shared" si="327"/>
        <v>-0.67413187137959574</v>
      </c>
      <c r="AU102" s="82"/>
      <c r="AV102" s="82"/>
      <c r="AW102" s="82"/>
      <c r="AX102" s="82"/>
      <c r="AY102" s="82"/>
      <c r="AZ102" s="82"/>
      <c r="BA102" s="82"/>
      <c r="BB102" s="82"/>
      <c r="BC102" s="82"/>
      <c r="BD102" s="82"/>
      <c r="BE102" s="82"/>
      <c r="BF102" s="82"/>
      <c r="BG102" s="82"/>
      <c r="BH102" s="82"/>
      <c r="BI102" s="83"/>
      <c r="BJ102" s="84"/>
      <c r="BK102" s="88">
        <f t="shared" ref="BK102" si="354">BK23+BK32+BK41+BK50+BK59+BK68+BK77+BK86</f>
        <v>169180</v>
      </c>
      <c r="BL102" s="85"/>
      <c r="BM102" s="86"/>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row>
    <row r="103" spans="4:150" s="87" customFormat="1" ht="15" thickBot="1" x14ac:dyDescent="0.35">
      <c r="D103" s="87">
        <v>4</v>
      </c>
      <c r="F103" s="13" t="s">
        <v>244</v>
      </c>
      <c r="G103" s="12"/>
      <c r="H103" s="88">
        <f t="shared" si="347"/>
        <v>0</v>
      </c>
      <c r="I103" s="88">
        <f t="shared" si="343"/>
        <v>2506.25</v>
      </c>
      <c r="J103" s="88">
        <f t="shared" si="318"/>
        <v>-2506.25</v>
      </c>
      <c r="K103" s="90">
        <f t="shared" si="319"/>
        <v>-1</v>
      </c>
      <c r="L103" s="88">
        <f t="shared" si="293"/>
        <v>0</v>
      </c>
      <c r="M103" s="88">
        <f t="shared" si="320"/>
        <v>0</v>
      </c>
      <c r="N103" s="90">
        <f t="shared" si="321"/>
        <v>0</v>
      </c>
      <c r="O103" s="88">
        <f t="shared" si="247"/>
        <v>0</v>
      </c>
      <c r="P103" s="88">
        <f t="shared" si="322"/>
        <v>0</v>
      </c>
      <c r="Q103" s="90">
        <f t="shared" si="323"/>
        <v>0</v>
      </c>
      <c r="R103" s="84"/>
      <c r="S103" s="88">
        <f t="shared" si="348"/>
        <v>0</v>
      </c>
      <c r="T103" s="88">
        <f t="shared" si="348"/>
        <v>0</v>
      </c>
      <c r="U103" s="88">
        <f t="shared" si="348"/>
        <v>0</v>
      </c>
      <c r="V103" s="88">
        <f t="shared" si="348"/>
        <v>0</v>
      </c>
      <c r="W103" s="88">
        <f t="shared" si="348"/>
        <v>0</v>
      </c>
      <c r="X103" s="88">
        <f t="shared" si="348"/>
        <v>0</v>
      </c>
      <c r="Y103" s="88">
        <f t="shared" si="348"/>
        <v>0</v>
      </c>
      <c r="Z103" s="88">
        <f t="shared" si="348"/>
        <v>0</v>
      </c>
      <c r="AA103" s="88">
        <f t="shared" si="348"/>
        <v>0</v>
      </c>
      <c r="AB103" s="88">
        <f t="shared" si="348"/>
        <v>0</v>
      </c>
      <c r="AC103" s="88">
        <f t="shared" si="348"/>
        <v>0</v>
      </c>
      <c r="AD103" s="88">
        <f t="shared" si="348"/>
        <v>0</v>
      </c>
      <c r="AE103" s="88">
        <f t="shared" ref="AE103:AF103" si="355">AE24+AE33+AE42+AE51+AE60+AE69+AE78+AE87</f>
        <v>8213.15</v>
      </c>
      <c r="AF103" s="88">
        <f t="shared" si="355"/>
        <v>2506.25</v>
      </c>
      <c r="AG103" s="88">
        <f t="shared" ref="AG103:AR103" si="356">AG24+AG33+AG42+AG51+AG60+AG69+AG78+AG87</f>
        <v>2506.25</v>
      </c>
      <c r="AH103" s="88">
        <f t="shared" si="356"/>
        <v>2506.25</v>
      </c>
      <c r="AI103" s="88">
        <f t="shared" si="356"/>
        <v>2506.25</v>
      </c>
      <c r="AJ103" s="88">
        <f t="shared" si="356"/>
        <v>2506.25</v>
      </c>
      <c r="AK103" s="88">
        <f t="shared" si="356"/>
        <v>2506.25</v>
      </c>
      <c r="AL103" s="88">
        <f t="shared" si="356"/>
        <v>2506.25</v>
      </c>
      <c r="AM103" s="88">
        <f t="shared" si="356"/>
        <v>2506.25</v>
      </c>
      <c r="AN103" s="88">
        <f t="shared" si="356"/>
        <v>2506.25</v>
      </c>
      <c r="AO103" s="88">
        <f t="shared" si="356"/>
        <v>2506.25</v>
      </c>
      <c r="AP103" s="88">
        <f t="shared" si="356"/>
        <v>2506.25</v>
      </c>
      <c r="AQ103" s="88">
        <f t="shared" si="356"/>
        <v>2506.25</v>
      </c>
      <c r="AR103" s="82">
        <f t="shared" si="356"/>
        <v>30075</v>
      </c>
      <c r="AS103" s="82">
        <f t="shared" si="326"/>
        <v>-21861.85</v>
      </c>
      <c r="AT103" s="83">
        <f t="shared" si="327"/>
        <v>-0.72691105569409808</v>
      </c>
      <c r="AU103" s="82"/>
      <c r="AV103" s="82"/>
      <c r="AW103" s="82"/>
      <c r="AX103" s="82"/>
      <c r="AY103" s="82"/>
      <c r="AZ103" s="82"/>
      <c r="BA103" s="82"/>
      <c r="BB103" s="82"/>
      <c r="BC103" s="82"/>
      <c r="BD103" s="82"/>
      <c r="BE103" s="82"/>
      <c r="BF103" s="82"/>
      <c r="BG103" s="82"/>
      <c r="BH103" s="82"/>
      <c r="BI103" s="83"/>
      <c r="BJ103" s="84"/>
      <c r="BK103" s="88">
        <f t="shared" ref="BK103" si="357">BK24+BK33+BK42+BK51+BK60+BK69+BK78+BK87</f>
        <v>30075</v>
      </c>
      <c r="BL103" s="85"/>
      <c r="BM103" s="86"/>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row>
    <row r="104" spans="4:150" s="87" customFormat="1" ht="15" thickBot="1" x14ac:dyDescent="0.35">
      <c r="D104" s="87">
        <v>5</v>
      </c>
      <c r="F104" s="13" t="s">
        <v>251</v>
      </c>
      <c r="G104" s="12"/>
      <c r="H104" s="88">
        <f t="shared" si="347"/>
        <v>0</v>
      </c>
      <c r="I104" s="88">
        <f t="shared" si="343"/>
        <v>14406.5</v>
      </c>
      <c r="J104" s="88">
        <f t="shared" si="318"/>
        <v>-14406.5</v>
      </c>
      <c r="K104" s="90">
        <f t="shared" si="319"/>
        <v>-1</v>
      </c>
      <c r="L104" s="88">
        <f t="shared" si="293"/>
        <v>0</v>
      </c>
      <c r="M104" s="88">
        <f t="shared" si="320"/>
        <v>0</v>
      </c>
      <c r="N104" s="90">
        <f t="shared" si="321"/>
        <v>0</v>
      </c>
      <c r="O104" s="88">
        <f t="shared" si="247"/>
        <v>0</v>
      </c>
      <c r="P104" s="88">
        <f t="shared" si="322"/>
        <v>0</v>
      </c>
      <c r="Q104" s="90">
        <f t="shared" si="323"/>
        <v>0</v>
      </c>
      <c r="R104" s="84"/>
      <c r="S104" s="88">
        <f t="shared" si="348"/>
        <v>0</v>
      </c>
      <c r="T104" s="88">
        <f t="shared" si="348"/>
        <v>0</v>
      </c>
      <c r="U104" s="88">
        <f t="shared" si="348"/>
        <v>0</v>
      </c>
      <c r="V104" s="88">
        <f t="shared" si="348"/>
        <v>0</v>
      </c>
      <c r="W104" s="88">
        <f t="shared" si="348"/>
        <v>0</v>
      </c>
      <c r="X104" s="88">
        <f t="shared" si="348"/>
        <v>0</v>
      </c>
      <c r="Y104" s="88">
        <f t="shared" si="348"/>
        <v>0</v>
      </c>
      <c r="Z104" s="88">
        <f t="shared" si="348"/>
        <v>0</v>
      </c>
      <c r="AA104" s="88">
        <f t="shared" si="348"/>
        <v>0</v>
      </c>
      <c r="AB104" s="88">
        <f t="shared" si="348"/>
        <v>0</v>
      </c>
      <c r="AC104" s="88">
        <f t="shared" si="348"/>
        <v>0</v>
      </c>
      <c r="AD104" s="88">
        <f t="shared" si="348"/>
        <v>0</v>
      </c>
      <c r="AE104" s="88">
        <f t="shared" ref="AE104:AF104" si="358">AE25+AE34+AE43+AE52+AE61+AE70+AE79+AE88</f>
        <v>4929.24</v>
      </c>
      <c r="AF104" s="88">
        <f t="shared" si="358"/>
        <v>137.5</v>
      </c>
      <c r="AG104" s="88">
        <f t="shared" ref="AG104:AR104" si="359">AG25+AG34+AG43+AG52+AG61+AG70+AG79+AG88</f>
        <v>1945.5</v>
      </c>
      <c r="AH104" s="88">
        <f t="shared" si="359"/>
        <v>137.5</v>
      </c>
      <c r="AI104" s="88">
        <f t="shared" si="359"/>
        <v>687.5</v>
      </c>
      <c r="AJ104" s="88">
        <f t="shared" si="359"/>
        <v>137.5</v>
      </c>
      <c r="AK104" s="88">
        <f t="shared" si="359"/>
        <v>2137.5</v>
      </c>
      <c r="AL104" s="88">
        <f t="shared" si="359"/>
        <v>1472.5</v>
      </c>
      <c r="AM104" s="88">
        <f t="shared" si="359"/>
        <v>137.5</v>
      </c>
      <c r="AN104" s="88">
        <f t="shared" si="359"/>
        <v>922.5</v>
      </c>
      <c r="AO104" s="88">
        <f t="shared" si="359"/>
        <v>14406.5</v>
      </c>
      <c r="AP104" s="88">
        <f t="shared" si="359"/>
        <v>137.5</v>
      </c>
      <c r="AQ104" s="88">
        <f t="shared" si="359"/>
        <v>687.5</v>
      </c>
      <c r="AR104" s="82">
        <f t="shared" si="359"/>
        <v>22947</v>
      </c>
      <c r="AS104" s="82">
        <f t="shared" si="326"/>
        <v>-18017.760000000002</v>
      </c>
      <c r="AT104" s="83">
        <f t="shared" si="327"/>
        <v>-0.78519022094391433</v>
      </c>
      <c r="AU104" s="82"/>
      <c r="AV104" s="82"/>
      <c r="AW104" s="82"/>
      <c r="AX104" s="82"/>
      <c r="AY104" s="82"/>
      <c r="AZ104" s="82"/>
      <c r="BA104" s="82"/>
      <c r="BB104" s="82"/>
      <c r="BC104" s="82"/>
      <c r="BD104" s="82"/>
      <c r="BE104" s="82"/>
      <c r="BF104" s="82"/>
      <c r="BG104" s="82"/>
      <c r="BH104" s="82"/>
      <c r="BI104" s="83"/>
      <c r="BJ104" s="84"/>
      <c r="BK104" s="88">
        <f t="shared" ref="BK104" si="360">BK25+BK34+BK43+BK52+BK61+BK70+BK79+BK88</f>
        <v>22947</v>
      </c>
      <c r="BL104" s="85"/>
      <c r="BM104" s="86"/>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row>
    <row r="105" spans="4:150" s="94" customFormat="1" ht="15" thickBot="1" x14ac:dyDescent="0.35">
      <c r="D105" s="94">
        <v>6</v>
      </c>
      <c r="F105" s="13" t="s">
        <v>31</v>
      </c>
      <c r="G105" s="14"/>
      <c r="H105" s="88">
        <f t="shared" si="347"/>
        <v>0</v>
      </c>
      <c r="I105" s="88">
        <f t="shared" si="343"/>
        <v>550</v>
      </c>
      <c r="J105" s="88">
        <f t="shared" si="318"/>
        <v>-550</v>
      </c>
      <c r="K105" s="90">
        <f t="shared" si="319"/>
        <v>-1</v>
      </c>
      <c r="L105" s="88">
        <f t="shared" si="293"/>
        <v>0</v>
      </c>
      <c r="M105" s="88">
        <f t="shared" si="320"/>
        <v>0</v>
      </c>
      <c r="N105" s="90">
        <f t="shared" si="321"/>
        <v>0</v>
      </c>
      <c r="O105" s="88">
        <f t="shared" si="247"/>
        <v>0</v>
      </c>
      <c r="P105" s="88">
        <f t="shared" si="322"/>
        <v>0</v>
      </c>
      <c r="Q105" s="90">
        <f t="shared" si="323"/>
        <v>0</v>
      </c>
      <c r="R105" s="91"/>
      <c r="S105" s="88">
        <f t="shared" si="348"/>
        <v>0</v>
      </c>
      <c r="T105" s="88">
        <f t="shared" si="348"/>
        <v>0</v>
      </c>
      <c r="U105" s="88">
        <f t="shared" si="348"/>
        <v>0</v>
      </c>
      <c r="V105" s="88">
        <f t="shared" si="348"/>
        <v>0</v>
      </c>
      <c r="W105" s="88">
        <f t="shared" si="348"/>
        <v>0</v>
      </c>
      <c r="X105" s="88">
        <f t="shared" si="348"/>
        <v>0</v>
      </c>
      <c r="Y105" s="88">
        <f t="shared" si="348"/>
        <v>0</v>
      </c>
      <c r="Z105" s="88">
        <f t="shared" si="348"/>
        <v>0</v>
      </c>
      <c r="AA105" s="88">
        <f t="shared" si="348"/>
        <v>0</v>
      </c>
      <c r="AB105" s="88">
        <f t="shared" si="348"/>
        <v>0</v>
      </c>
      <c r="AC105" s="88">
        <f t="shared" si="348"/>
        <v>0</v>
      </c>
      <c r="AD105" s="88">
        <f t="shared" si="348"/>
        <v>0</v>
      </c>
      <c r="AE105" s="88">
        <f t="shared" ref="AE105:AF105" si="361">AE26+AE35+AE44+AE53+AE62+AE71+AE80+AE89</f>
        <v>31250.370000000003</v>
      </c>
      <c r="AF105" s="88">
        <f t="shared" si="361"/>
        <v>0</v>
      </c>
      <c r="AG105" s="88">
        <f t="shared" ref="AG105:AR105" si="362">AG26+AG35+AG44+AG53+AG62+AG71+AG80+AG89</f>
        <v>0</v>
      </c>
      <c r="AH105" s="88">
        <f t="shared" si="362"/>
        <v>11550</v>
      </c>
      <c r="AI105" s="88">
        <f t="shared" si="362"/>
        <v>0</v>
      </c>
      <c r="AJ105" s="88">
        <f t="shared" si="362"/>
        <v>0</v>
      </c>
      <c r="AK105" s="88">
        <f t="shared" si="362"/>
        <v>550</v>
      </c>
      <c r="AL105" s="88">
        <f t="shared" si="362"/>
        <v>0</v>
      </c>
      <c r="AM105" s="88">
        <f t="shared" si="362"/>
        <v>0</v>
      </c>
      <c r="AN105" s="88">
        <f t="shared" si="362"/>
        <v>0</v>
      </c>
      <c r="AO105" s="88">
        <f t="shared" si="362"/>
        <v>550</v>
      </c>
      <c r="AP105" s="88">
        <f t="shared" si="362"/>
        <v>11000</v>
      </c>
      <c r="AQ105" s="88">
        <f t="shared" si="362"/>
        <v>550</v>
      </c>
      <c r="AR105" s="82">
        <f t="shared" si="362"/>
        <v>24200</v>
      </c>
      <c r="AS105" s="82">
        <f t="shared" si="326"/>
        <v>7050.3700000000026</v>
      </c>
      <c r="AT105" s="83">
        <f t="shared" si="327"/>
        <v>0.29133760330578523</v>
      </c>
      <c r="AU105" s="88"/>
      <c r="AV105" s="88"/>
      <c r="AW105" s="88"/>
      <c r="AX105" s="88"/>
      <c r="AY105" s="88"/>
      <c r="AZ105" s="88"/>
      <c r="BA105" s="88"/>
      <c r="BB105" s="88"/>
      <c r="BC105" s="88"/>
      <c r="BD105" s="88"/>
      <c r="BE105" s="88"/>
      <c r="BF105" s="88"/>
      <c r="BG105" s="88"/>
      <c r="BH105" s="88"/>
      <c r="BI105" s="90"/>
      <c r="BJ105" s="91"/>
      <c r="BK105" s="88">
        <f t="shared" ref="BK105" si="363">BK26+BK35+BK44+BK53+BK62+BK71+BK80+BK89</f>
        <v>24200</v>
      </c>
      <c r="BL105" s="92"/>
      <c r="BM105" s="93"/>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row>
    <row r="106" spans="4:150" s="94" customFormat="1" ht="15" thickBot="1" x14ac:dyDescent="0.35">
      <c r="D106" s="94">
        <v>7</v>
      </c>
      <c r="F106" s="13" t="s">
        <v>256</v>
      </c>
      <c r="G106" s="14"/>
      <c r="H106" s="88">
        <f t="shared" si="347"/>
        <v>0</v>
      </c>
      <c r="I106" s="88">
        <f t="shared" si="343"/>
        <v>0</v>
      </c>
      <c r="J106" s="88">
        <f t="shared" si="318"/>
        <v>0</v>
      </c>
      <c r="K106" s="90">
        <f t="shared" si="319"/>
        <v>0</v>
      </c>
      <c r="L106" s="88">
        <f t="shared" si="293"/>
        <v>0</v>
      </c>
      <c r="M106" s="88">
        <f t="shared" si="320"/>
        <v>0</v>
      </c>
      <c r="N106" s="90">
        <f t="shared" si="321"/>
        <v>0</v>
      </c>
      <c r="O106" s="88">
        <f t="shared" si="247"/>
        <v>0</v>
      </c>
      <c r="P106" s="88">
        <f t="shared" si="322"/>
        <v>0</v>
      </c>
      <c r="Q106" s="90">
        <f t="shared" si="323"/>
        <v>0</v>
      </c>
      <c r="R106" s="91"/>
      <c r="S106" s="88">
        <f t="shared" si="348"/>
        <v>0</v>
      </c>
      <c r="T106" s="88">
        <f t="shared" si="348"/>
        <v>0</v>
      </c>
      <c r="U106" s="88">
        <f t="shared" si="348"/>
        <v>0</v>
      </c>
      <c r="V106" s="88">
        <f t="shared" si="348"/>
        <v>0</v>
      </c>
      <c r="W106" s="88">
        <f t="shared" si="348"/>
        <v>0</v>
      </c>
      <c r="X106" s="88">
        <f t="shared" si="348"/>
        <v>0</v>
      </c>
      <c r="Y106" s="88">
        <f t="shared" si="348"/>
        <v>0</v>
      </c>
      <c r="Z106" s="88">
        <f t="shared" si="348"/>
        <v>0</v>
      </c>
      <c r="AA106" s="88">
        <f t="shared" si="348"/>
        <v>0</v>
      </c>
      <c r="AB106" s="88">
        <f t="shared" si="348"/>
        <v>0</v>
      </c>
      <c r="AC106" s="88">
        <f t="shared" si="348"/>
        <v>0</v>
      </c>
      <c r="AD106" s="88">
        <f t="shared" si="348"/>
        <v>0</v>
      </c>
      <c r="AE106" s="88">
        <f t="shared" ref="AE106:AF106" si="364">AE27+AE36+AE45+AE54+AE63+AE72+AE81+AE90</f>
        <v>73852.990000000005</v>
      </c>
      <c r="AF106" s="88">
        <f t="shared" si="364"/>
        <v>0</v>
      </c>
      <c r="AG106" s="88">
        <f t="shared" ref="AG106:AR106" si="365">AG27+AG36+AG45+AG54+AG63+AG72+AG81+AG90</f>
        <v>0</v>
      </c>
      <c r="AH106" s="88">
        <f t="shared" si="365"/>
        <v>0</v>
      </c>
      <c r="AI106" s="88">
        <f t="shared" si="365"/>
        <v>0</v>
      </c>
      <c r="AJ106" s="88">
        <f t="shared" si="365"/>
        <v>0</v>
      </c>
      <c r="AK106" s="88">
        <f t="shared" si="365"/>
        <v>50000</v>
      </c>
      <c r="AL106" s="88">
        <f t="shared" si="365"/>
        <v>0</v>
      </c>
      <c r="AM106" s="88">
        <f t="shared" si="365"/>
        <v>0</v>
      </c>
      <c r="AN106" s="88">
        <f t="shared" si="365"/>
        <v>50000</v>
      </c>
      <c r="AO106" s="88">
        <f t="shared" si="365"/>
        <v>0</v>
      </c>
      <c r="AP106" s="88">
        <f t="shared" si="365"/>
        <v>50000</v>
      </c>
      <c r="AQ106" s="88">
        <f t="shared" si="365"/>
        <v>100000</v>
      </c>
      <c r="AR106" s="82">
        <f t="shared" si="365"/>
        <v>250000</v>
      </c>
      <c r="AS106" s="82">
        <f t="shared" si="326"/>
        <v>-176147.01</v>
      </c>
      <c r="AT106" s="83">
        <f t="shared" si="327"/>
        <v>-0.70458804000000008</v>
      </c>
      <c r="AU106" s="88"/>
      <c r="AV106" s="88"/>
      <c r="AW106" s="88"/>
      <c r="AX106" s="88"/>
      <c r="AY106" s="88"/>
      <c r="AZ106" s="88"/>
      <c r="BA106" s="88"/>
      <c r="BB106" s="88"/>
      <c r="BC106" s="88"/>
      <c r="BD106" s="88"/>
      <c r="BE106" s="88"/>
      <c r="BF106" s="88"/>
      <c r="BG106" s="88"/>
      <c r="BH106" s="88"/>
      <c r="BI106" s="90"/>
      <c r="BJ106" s="91"/>
      <c r="BK106" s="88">
        <f t="shared" ref="BK106" si="366">BK27+BK36+BK45+BK54+BK63+BK72+BK81+BK90</f>
        <v>250000</v>
      </c>
      <c r="BL106" s="92"/>
      <c r="BM106" s="93"/>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row>
    <row r="107" spans="4:150" s="94" customFormat="1" ht="15" thickBot="1" x14ac:dyDescent="0.35">
      <c r="D107" s="94">
        <v>8</v>
      </c>
      <c r="F107" s="13" t="s">
        <v>46</v>
      </c>
      <c r="G107" s="14"/>
      <c r="H107" s="88">
        <f t="shared" si="347"/>
        <v>0</v>
      </c>
      <c r="I107" s="88">
        <f t="shared" si="343"/>
        <v>0</v>
      </c>
      <c r="J107" s="88">
        <f t="shared" si="318"/>
        <v>0</v>
      </c>
      <c r="K107" s="90">
        <f t="shared" si="319"/>
        <v>0</v>
      </c>
      <c r="L107" s="88">
        <f t="shared" si="293"/>
        <v>0</v>
      </c>
      <c r="M107" s="88">
        <f t="shared" si="320"/>
        <v>0</v>
      </c>
      <c r="N107" s="90">
        <f t="shared" si="321"/>
        <v>0</v>
      </c>
      <c r="O107" s="88">
        <f t="shared" si="247"/>
        <v>0</v>
      </c>
      <c r="P107" s="88">
        <f t="shared" si="322"/>
        <v>0</v>
      </c>
      <c r="Q107" s="90">
        <f t="shared" si="323"/>
        <v>0</v>
      </c>
      <c r="R107" s="89"/>
      <c r="S107" s="88">
        <f t="shared" si="348"/>
        <v>0</v>
      </c>
      <c r="T107" s="88">
        <f t="shared" si="348"/>
        <v>0</v>
      </c>
      <c r="U107" s="88">
        <f t="shared" si="348"/>
        <v>0</v>
      </c>
      <c r="V107" s="88">
        <f t="shared" si="348"/>
        <v>0</v>
      </c>
      <c r="W107" s="88">
        <f t="shared" si="348"/>
        <v>0</v>
      </c>
      <c r="X107" s="88">
        <f t="shared" si="348"/>
        <v>0</v>
      </c>
      <c r="Y107" s="88">
        <f t="shared" si="348"/>
        <v>0</v>
      </c>
      <c r="Z107" s="88">
        <f t="shared" si="348"/>
        <v>0</v>
      </c>
      <c r="AA107" s="88">
        <f t="shared" si="348"/>
        <v>0</v>
      </c>
      <c r="AB107" s="88">
        <f t="shared" si="348"/>
        <v>0</v>
      </c>
      <c r="AC107" s="88">
        <f t="shared" si="348"/>
        <v>0</v>
      </c>
      <c r="AD107" s="88">
        <f t="shared" si="348"/>
        <v>0</v>
      </c>
      <c r="AE107" s="88">
        <f t="shared" ref="AE107:AF107" si="367">AE28+AE37+AE46+AE55+AE64+AE73+AE82+AE91</f>
        <v>0</v>
      </c>
      <c r="AF107" s="88">
        <f t="shared" si="367"/>
        <v>0</v>
      </c>
      <c r="AG107" s="88">
        <f t="shared" ref="AG107:AR107" si="368">AG28+AG37+AG46+AG55+AG64+AG73+AG82+AG91</f>
        <v>0</v>
      </c>
      <c r="AH107" s="88">
        <f t="shared" si="368"/>
        <v>0</v>
      </c>
      <c r="AI107" s="88">
        <f t="shared" si="368"/>
        <v>0</v>
      </c>
      <c r="AJ107" s="88">
        <f t="shared" si="368"/>
        <v>0</v>
      </c>
      <c r="AK107" s="88">
        <f t="shared" si="368"/>
        <v>0</v>
      </c>
      <c r="AL107" s="88">
        <f t="shared" si="368"/>
        <v>0</v>
      </c>
      <c r="AM107" s="88">
        <f t="shared" si="368"/>
        <v>0</v>
      </c>
      <c r="AN107" s="88">
        <f t="shared" si="368"/>
        <v>0</v>
      </c>
      <c r="AO107" s="88">
        <f t="shared" si="368"/>
        <v>0</v>
      </c>
      <c r="AP107" s="88">
        <f t="shared" si="368"/>
        <v>0</v>
      </c>
      <c r="AQ107" s="88">
        <f t="shared" si="368"/>
        <v>0</v>
      </c>
      <c r="AR107" s="82">
        <f t="shared" si="368"/>
        <v>0</v>
      </c>
      <c r="AS107" s="82">
        <f t="shared" si="326"/>
        <v>0</v>
      </c>
      <c r="AT107" s="83">
        <f t="shared" si="327"/>
        <v>0</v>
      </c>
      <c r="AU107" s="88"/>
      <c r="AV107" s="88"/>
      <c r="AW107" s="88"/>
      <c r="AX107" s="88"/>
      <c r="AY107" s="88"/>
      <c r="AZ107" s="88"/>
      <c r="BA107" s="88"/>
      <c r="BB107" s="88"/>
      <c r="BC107" s="88"/>
      <c r="BD107" s="88"/>
      <c r="BE107" s="88"/>
      <c r="BF107" s="88"/>
      <c r="BG107" s="88"/>
      <c r="BH107" s="88"/>
      <c r="BI107" s="90"/>
      <c r="BJ107" s="89"/>
      <c r="BK107" s="88">
        <f t="shared" ref="BK107" si="369">BK28+BK37+BK46+BK55+BK64+BK73+BK82+BK91</f>
        <v>0</v>
      </c>
      <c r="BL107" s="93"/>
      <c r="BM107" s="93"/>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row>
    <row r="108" spans="4:150" s="94" customFormat="1" ht="15" thickBot="1" x14ac:dyDescent="0.35">
      <c r="F108" s="11"/>
      <c r="G108" s="14"/>
      <c r="H108" s="88">
        <f>SUM(H100:H107)-H96</f>
        <v>0</v>
      </c>
      <c r="I108" s="88">
        <f>SUM(I100:I107)-I96</f>
        <v>0</v>
      </c>
      <c r="J108" s="88">
        <f t="shared" si="318"/>
        <v>0</v>
      </c>
      <c r="K108" s="90">
        <f t="shared" si="319"/>
        <v>0</v>
      </c>
      <c r="L108" s="88">
        <f t="shared" si="293"/>
        <v>0</v>
      </c>
      <c r="M108" s="88">
        <f t="shared" si="320"/>
        <v>0</v>
      </c>
      <c r="N108" s="90">
        <f t="shared" si="321"/>
        <v>0</v>
      </c>
      <c r="O108" s="88">
        <f t="shared" si="247"/>
        <v>0</v>
      </c>
      <c r="P108" s="88">
        <f t="shared" si="322"/>
        <v>0</v>
      </c>
      <c r="Q108" s="90">
        <f t="shared" si="323"/>
        <v>0</v>
      </c>
      <c r="R108" s="89"/>
      <c r="S108" s="88">
        <f>SUM(S100:S107)-S96</f>
        <v>0</v>
      </c>
      <c r="T108" s="88">
        <f t="shared" ref="T108:AD108" si="370">SUM(T100:T107)-T96</f>
        <v>0</v>
      </c>
      <c r="U108" s="88">
        <f t="shared" si="370"/>
        <v>0</v>
      </c>
      <c r="V108" s="88">
        <f t="shared" si="370"/>
        <v>0</v>
      </c>
      <c r="W108" s="88">
        <f t="shared" si="370"/>
        <v>0</v>
      </c>
      <c r="X108" s="88">
        <f t="shared" si="370"/>
        <v>0</v>
      </c>
      <c r="Y108" s="88">
        <f t="shared" si="370"/>
        <v>0</v>
      </c>
      <c r="Z108" s="88">
        <f t="shared" si="370"/>
        <v>0</v>
      </c>
      <c r="AA108" s="88">
        <f t="shared" si="370"/>
        <v>0</v>
      </c>
      <c r="AB108" s="88">
        <f t="shared" si="370"/>
        <v>0</v>
      </c>
      <c r="AC108" s="88">
        <f t="shared" si="370"/>
        <v>0</v>
      </c>
      <c r="AD108" s="88">
        <f t="shared" si="370"/>
        <v>0</v>
      </c>
      <c r="AE108" s="88"/>
      <c r="AF108" s="88">
        <f>SUM(AF100:AF107)-AF96</f>
        <v>0</v>
      </c>
      <c r="AG108" s="88">
        <f t="shared" ref="AG108:AR108" si="371">SUM(AG100:AG107)-AG96</f>
        <v>0</v>
      </c>
      <c r="AH108" s="88">
        <f t="shared" si="371"/>
        <v>0</v>
      </c>
      <c r="AI108" s="88">
        <f t="shared" si="371"/>
        <v>0</v>
      </c>
      <c r="AJ108" s="88">
        <f t="shared" si="371"/>
        <v>0</v>
      </c>
      <c r="AK108" s="88">
        <f t="shared" si="371"/>
        <v>0</v>
      </c>
      <c r="AL108" s="88">
        <f t="shared" si="371"/>
        <v>0</v>
      </c>
      <c r="AM108" s="88">
        <f t="shared" si="371"/>
        <v>0</v>
      </c>
      <c r="AN108" s="88">
        <f t="shared" si="371"/>
        <v>0</v>
      </c>
      <c r="AO108" s="88">
        <f t="shared" si="371"/>
        <v>0</v>
      </c>
      <c r="AP108" s="88">
        <f t="shared" si="371"/>
        <v>0</v>
      </c>
      <c r="AQ108" s="88">
        <f t="shared" si="371"/>
        <v>0</v>
      </c>
      <c r="AR108" s="88">
        <f t="shared" si="371"/>
        <v>0</v>
      </c>
      <c r="AS108" s="88"/>
      <c r="AT108" s="90"/>
      <c r="AU108" s="88"/>
      <c r="AV108" s="88"/>
      <c r="AW108" s="88"/>
      <c r="AX108" s="88"/>
      <c r="AY108" s="88"/>
      <c r="AZ108" s="88"/>
      <c r="BA108" s="88"/>
      <c r="BB108" s="88"/>
      <c r="BC108" s="88"/>
      <c r="BD108" s="88"/>
      <c r="BE108" s="88"/>
      <c r="BF108" s="88"/>
      <c r="BG108" s="88"/>
      <c r="BH108" s="88"/>
      <c r="BI108" s="90"/>
      <c r="BJ108" s="89"/>
      <c r="BK108" s="88">
        <f t="shared" ref="BK108" si="372">SUM(BK100:BK107)-BK96</f>
        <v>0</v>
      </c>
      <c r="BL108" s="93"/>
      <c r="BM108" s="93"/>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row>
    <row r="109" spans="4:150" s="87" customFormat="1" ht="15" thickBot="1" x14ac:dyDescent="0.35">
      <c r="F109" s="11"/>
      <c r="G109" s="12"/>
      <c r="H109" s="95"/>
      <c r="I109" s="95"/>
      <c r="J109" s="82"/>
      <c r="K109" s="83"/>
      <c r="L109" s="82"/>
      <c r="M109" s="82"/>
      <c r="N109" s="83"/>
      <c r="O109" s="82"/>
      <c r="P109" s="82"/>
      <c r="Q109" s="83"/>
      <c r="R109" s="96"/>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95"/>
      <c r="AS109" s="95"/>
      <c r="AT109" s="83"/>
      <c r="AU109" s="82"/>
      <c r="AV109" s="82"/>
      <c r="AW109" s="95"/>
      <c r="AX109" s="95"/>
      <c r="AY109" s="95"/>
      <c r="AZ109" s="95"/>
      <c r="BA109" s="95"/>
      <c r="BB109" s="95"/>
      <c r="BC109" s="95"/>
      <c r="BD109" s="95"/>
      <c r="BE109" s="95"/>
      <c r="BF109" s="95"/>
      <c r="BG109" s="95"/>
      <c r="BH109" s="95"/>
      <c r="BI109" s="83"/>
      <c r="BJ109" s="96"/>
      <c r="BK109" s="200"/>
      <c r="BL109" s="97"/>
      <c r="BM109" s="86"/>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row>
    <row r="110" spans="4:150" s="87" customFormat="1" ht="15" thickBot="1" x14ac:dyDescent="0.35">
      <c r="F110" s="11"/>
      <c r="G110" s="12"/>
      <c r="H110" s="95"/>
      <c r="I110" s="95"/>
      <c r="J110" s="96"/>
      <c r="K110" s="83"/>
      <c r="L110" s="95"/>
      <c r="M110" s="96"/>
      <c r="N110" s="83"/>
      <c r="O110" s="95"/>
      <c r="P110" s="96"/>
      <c r="Q110" s="83"/>
      <c r="R110" s="96"/>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83"/>
      <c r="AU110" s="82"/>
      <c r="AV110" s="82"/>
      <c r="AW110" s="95"/>
      <c r="AX110" s="95"/>
      <c r="AY110" s="95"/>
      <c r="AZ110" s="95"/>
      <c r="BA110" s="95"/>
      <c r="BB110" s="95"/>
      <c r="BC110" s="95"/>
      <c r="BD110" s="95"/>
      <c r="BE110" s="95"/>
      <c r="BF110" s="95"/>
      <c r="BG110" s="95"/>
      <c r="BH110" s="95"/>
      <c r="BI110" s="83"/>
      <c r="BJ110" s="96"/>
      <c r="BK110" s="95"/>
      <c r="BL110" s="97"/>
      <c r="BM110" s="86"/>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row>
    <row r="111" spans="4:150" s="81" customFormat="1" ht="15.75" customHeight="1" thickBot="1" x14ac:dyDescent="0.35">
      <c r="F111" s="107"/>
      <c r="G111" s="16"/>
      <c r="H111" s="272"/>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80"/>
      <c r="BM111" s="80"/>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row>
    <row r="112" spans="4:150" s="4" customFormat="1" x14ac:dyDescent="0.3">
      <c r="F112" s="15"/>
      <c r="G112" s="16"/>
      <c r="H112" s="7"/>
      <c r="I112" s="7"/>
      <c r="J112" s="7"/>
      <c r="K112" s="7"/>
      <c r="L112" s="7"/>
      <c r="M112" s="7"/>
      <c r="N112" s="7"/>
      <c r="O112" s="7"/>
      <c r="P112" s="7"/>
      <c r="Q112" s="7"/>
      <c r="R112" s="7"/>
      <c r="S112" s="7"/>
      <c r="T112" s="7"/>
      <c r="U112" s="1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row>
    <row r="113" spans="6:65" s="4" customFormat="1" ht="9" customHeight="1" thickBot="1" x14ac:dyDescent="0.35">
      <c r="F113" s="18" t="s">
        <v>90</v>
      </c>
      <c r="G113" s="16"/>
      <c r="H113" s="264" t="s">
        <v>91</v>
      </c>
      <c r="I113" s="264"/>
      <c r="J113" s="264"/>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row>
    <row r="114" spans="6:65" s="4" customFormat="1" ht="15" thickBot="1" x14ac:dyDescent="0.35">
      <c r="F114" s="19"/>
      <c r="G114" s="149"/>
      <c r="H114" s="264" t="s">
        <v>92</v>
      </c>
      <c r="I114" s="264"/>
      <c r="J114" s="264"/>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row>
    <row r="115" spans="6:65" s="4" customFormat="1" ht="15" thickBot="1" x14ac:dyDescent="0.35">
      <c r="F115" s="19"/>
      <c r="G115" s="150"/>
      <c r="H115" s="264" t="s">
        <v>93</v>
      </c>
      <c r="I115" s="264"/>
      <c r="J115" s="264"/>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row>
    <row r="116" spans="6:65" s="4" customFormat="1" ht="15" thickBot="1" x14ac:dyDescent="0.35">
      <c r="G116" s="95"/>
      <c r="H116" s="4" t="s">
        <v>94</v>
      </c>
    </row>
    <row r="117" spans="6:65" s="4" customFormat="1" x14ac:dyDescent="0.3"/>
    <row r="118" spans="6:65" s="4" customFormat="1" x14ac:dyDescent="0.3"/>
    <row r="119" spans="6:65" s="4" customFormat="1" x14ac:dyDescent="0.3"/>
    <row r="120" spans="6:65" s="4" customFormat="1" ht="13.5" customHeight="1" thickBot="1" x14ac:dyDescent="0.35">
      <c r="F120" s="138"/>
      <c r="G120" s="20"/>
      <c r="H120" s="265" t="s">
        <v>100</v>
      </c>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7"/>
    </row>
    <row r="121" spans="6:65" s="4" customFormat="1" ht="15.75" customHeight="1" thickBot="1" x14ac:dyDescent="0.35">
      <c r="F121" s="21"/>
      <c r="G121" s="20"/>
      <c r="H121" s="268"/>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row>
    <row r="122" spans="6:65" s="4" customFormat="1" ht="41.25" customHeight="1" thickBot="1" x14ac:dyDescent="0.35">
      <c r="F122" s="22"/>
      <c r="G122" s="20"/>
      <c r="H122" s="261"/>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3"/>
    </row>
    <row r="123" spans="6:65" s="4" customFormat="1" ht="24.75" customHeight="1" thickBot="1" x14ac:dyDescent="0.35">
      <c r="F123" s="22"/>
      <c r="G123" s="20"/>
      <c r="H123" s="261"/>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3"/>
    </row>
    <row r="124" spans="6:65" s="4" customFormat="1" ht="27" customHeight="1" thickBot="1" x14ac:dyDescent="0.35">
      <c r="F124" s="22"/>
      <c r="G124" s="20"/>
      <c r="H124" s="261"/>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3"/>
    </row>
    <row r="125" spans="6:65" s="4" customFormat="1" ht="14.1" customHeight="1" thickBot="1" x14ac:dyDescent="0.35">
      <c r="F125" s="22"/>
      <c r="G125" s="20"/>
      <c r="H125" s="261"/>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3"/>
    </row>
    <row r="126" spans="6:65" s="4" customFormat="1" ht="13.5" customHeight="1" thickBot="1" x14ac:dyDescent="0.35">
      <c r="F126" s="22"/>
      <c r="G126" s="20"/>
      <c r="H126" s="261"/>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3"/>
    </row>
    <row r="127" spans="6:65" s="4" customFormat="1" ht="14.1" customHeight="1" thickBot="1" x14ac:dyDescent="0.35">
      <c r="F127" s="22"/>
      <c r="G127" s="20"/>
      <c r="H127" s="261"/>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3"/>
    </row>
    <row r="128" spans="6:65" s="4" customFormat="1" ht="14.1" customHeight="1" thickBot="1" x14ac:dyDescent="0.35">
      <c r="F128" s="22"/>
      <c r="G128" s="20"/>
      <c r="H128" s="261"/>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3"/>
    </row>
    <row r="129" spans="6:65" s="4" customFormat="1" ht="28.5" customHeight="1" thickBot="1" x14ac:dyDescent="0.35">
      <c r="F129" s="22"/>
      <c r="G129" s="20"/>
      <c r="H129" s="261"/>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3"/>
    </row>
    <row r="130" spans="6:65" s="4" customFormat="1" ht="28.5" customHeight="1" thickBot="1" x14ac:dyDescent="0.35">
      <c r="F130" s="22"/>
      <c r="G130" s="20"/>
      <c r="H130" s="261"/>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3"/>
    </row>
    <row r="131" spans="6:65" s="4" customFormat="1" ht="14.1" customHeight="1" thickBot="1" x14ac:dyDescent="0.35">
      <c r="F131" s="22"/>
      <c r="G131" s="20"/>
      <c r="H131" s="261"/>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3"/>
    </row>
    <row r="132" spans="6:65" s="4" customFormat="1" x14ac:dyDescent="0.3"/>
    <row r="133" spans="6:65" s="4" customFormat="1" x14ac:dyDescent="0.3"/>
    <row r="134" spans="6:65" s="4" customFormat="1" x14ac:dyDescent="0.3"/>
    <row r="135" spans="6:65" s="4" customFormat="1" x14ac:dyDescent="0.3"/>
    <row r="136" spans="6:65" s="4" customFormat="1" x14ac:dyDescent="0.3"/>
    <row r="137" spans="6:65" s="4" customFormat="1" x14ac:dyDescent="0.3"/>
    <row r="138" spans="6:65" s="4" customFormat="1" x14ac:dyDescent="0.3"/>
    <row r="139" spans="6:65" s="4" customFormat="1" x14ac:dyDescent="0.3"/>
    <row r="140" spans="6:65" s="4" customFormat="1" x14ac:dyDescent="0.3"/>
    <row r="141" spans="6:65" s="4" customFormat="1" x14ac:dyDescent="0.3"/>
    <row r="142" spans="6:65" s="4" customFormat="1" x14ac:dyDescent="0.3"/>
    <row r="143" spans="6:65" s="4" customFormat="1" x14ac:dyDescent="0.3"/>
    <row r="144" spans="6:65"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sheetData>
  <mergeCells count="20">
    <mergeCell ref="F10:F11"/>
    <mergeCell ref="H12:BK12"/>
    <mergeCell ref="H94:BK94"/>
    <mergeCell ref="H111:BK111"/>
    <mergeCell ref="H113:J113"/>
    <mergeCell ref="H4:I4"/>
    <mergeCell ref="H131:BM131"/>
    <mergeCell ref="H125:BM125"/>
    <mergeCell ref="H126:BM126"/>
    <mergeCell ref="H127:BM127"/>
    <mergeCell ref="H128:BM128"/>
    <mergeCell ref="H129:BM129"/>
    <mergeCell ref="H130:BM130"/>
    <mergeCell ref="H124:BM124"/>
    <mergeCell ref="H114:J114"/>
    <mergeCell ref="H115:J115"/>
    <mergeCell ref="H120:BM120"/>
    <mergeCell ref="H121:BM121"/>
    <mergeCell ref="H122:BM122"/>
    <mergeCell ref="H123:BM123"/>
  </mergeCells>
  <phoneticPr fontId="4" type="noConversion"/>
  <conditionalFormatting sqref="AT108:AT110 K13:K93 AT13:AT93">
    <cfRule type="cellIs" dxfId="51" priority="441" operator="equal">
      <formula>0</formula>
    </cfRule>
    <cfRule type="cellIs" priority="442" stopIfTrue="1" operator="equal">
      <formula>0</formula>
    </cfRule>
    <cfRule type="cellIs" dxfId="50" priority="443" operator="lessThan">
      <formula>-0.05</formula>
    </cfRule>
    <cfRule type="cellIs" dxfId="49" priority="444" operator="greaterThan">
      <formula>0.05</formula>
    </cfRule>
    <cfRule type="cellIs" dxfId="48" priority="445" operator="between">
      <formula>-0.05</formula>
      <formula>0.05</formula>
    </cfRule>
  </conditionalFormatting>
  <conditionalFormatting sqref="K110">
    <cfRule type="cellIs" dxfId="47" priority="426" operator="equal">
      <formula>0</formula>
    </cfRule>
    <cfRule type="cellIs" priority="427" stopIfTrue="1" operator="equal">
      <formula>0</formula>
    </cfRule>
    <cfRule type="cellIs" dxfId="46" priority="428" operator="lessThan">
      <formula>-0.05</formula>
    </cfRule>
    <cfRule type="cellIs" dxfId="45" priority="429" operator="greaterThan">
      <formula>0.05</formula>
    </cfRule>
    <cfRule type="cellIs" dxfId="44" priority="430" operator="between">
      <formula>-0.05</formula>
      <formula>0.05</formula>
    </cfRule>
  </conditionalFormatting>
  <conditionalFormatting sqref="N13:N93">
    <cfRule type="cellIs" dxfId="43" priority="421" operator="equal">
      <formula>0</formula>
    </cfRule>
    <cfRule type="cellIs" priority="422" stopIfTrue="1" operator="equal">
      <formula>0</formula>
    </cfRule>
    <cfRule type="cellIs" dxfId="42" priority="423" operator="lessThan">
      <formula>-0.05</formula>
    </cfRule>
    <cfRule type="cellIs" dxfId="41" priority="424" operator="greaterThan">
      <formula>0.05</formula>
    </cfRule>
    <cfRule type="cellIs" dxfId="40" priority="425" operator="between">
      <formula>-0.05</formula>
      <formula>0.05</formula>
    </cfRule>
  </conditionalFormatting>
  <conditionalFormatting sqref="N110">
    <cfRule type="cellIs" dxfId="39" priority="406" operator="equal">
      <formula>0</formula>
    </cfRule>
    <cfRule type="cellIs" priority="407" stopIfTrue="1" operator="equal">
      <formula>0</formula>
    </cfRule>
    <cfRule type="cellIs" dxfId="38" priority="408" operator="lessThan">
      <formula>-0.05</formula>
    </cfRule>
    <cfRule type="cellIs" dxfId="37" priority="409" operator="greaterThan">
      <formula>0.05</formula>
    </cfRule>
    <cfRule type="cellIs" dxfId="36" priority="410" operator="between">
      <formula>-0.05</formula>
      <formula>0.05</formula>
    </cfRule>
  </conditionalFormatting>
  <conditionalFormatting sqref="Q13:Q93">
    <cfRule type="cellIs" dxfId="35" priority="176" operator="equal">
      <formula>0</formula>
    </cfRule>
    <cfRule type="cellIs" priority="177" stopIfTrue="1" operator="equal">
      <formula>0</formula>
    </cfRule>
    <cfRule type="cellIs" dxfId="34" priority="178" operator="lessThan">
      <formula>-0.05</formula>
    </cfRule>
    <cfRule type="cellIs" dxfId="33" priority="179" operator="greaterThan">
      <formula>0.05</formula>
    </cfRule>
    <cfRule type="cellIs" dxfId="32" priority="180" operator="between">
      <formula>-0.05</formula>
      <formula>0.05</formula>
    </cfRule>
  </conditionalFormatting>
  <conditionalFormatting sqref="Q110">
    <cfRule type="cellIs" dxfId="31" priority="101" operator="equal">
      <formula>0</formula>
    </cfRule>
    <cfRule type="cellIs" priority="102" stopIfTrue="1" operator="equal">
      <formula>0</formula>
    </cfRule>
    <cfRule type="cellIs" dxfId="30" priority="103" operator="lessThan">
      <formula>-0.05</formula>
    </cfRule>
    <cfRule type="cellIs" dxfId="29" priority="104" operator="greaterThan">
      <formula>0.05</formula>
    </cfRule>
    <cfRule type="cellIs" dxfId="28" priority="105" operator="between">
      <formula>-0.05</formula>
      <formula>0.05</formula>
    </cfRule>
  </conditionalFormatting>
  <conditionalFormatting sqref="BI13:BI93">
    <cfRule type="cellIs" dxfId="27" priority="46" operator="equal">
      <formula>0</formula>
    </cfRule>
    <cfRule type="cellIs" priority="47" stopIfTrue="1" operator="equal">
      <formula>0</formula>
    </cfRule>
    <cfRule type="cellIs" dxfId="26" priority="48" operator="lessThan">
      <formula>-0.05</formula>
    </cfRule>
    <cfRule type="cellIs" dxfId="25" priority="49" operator="greaterThan">
      <formula>0.05</formula>
    </cfRule>
    <cfRule type="cellIs" dxfId="24" priority="50" operator="between">
      <formula>-0.05</formula>
      <formula>0.05</formula>
    </cfRule>
  </conditionalFormatting>
  <conditionalFormatting sqref="BI95:BI110">
    <cfRule type="cellIs" dxfId="23" priority="36" operator="equal">
      <formula>0</formula>
    </cfRule>
    <cfRule type="cellIs" priority="37" stopIfTrue="1" operator="equal">
      <formula>0</formula>
    </cfRule>
    <cfRule type="cellIs" dxfId="22" priority="38" operator="lessThan">
      <formula>-0.05</formula>
    </cfRule>
    <cfRule type="cellIs" dxfId="21" priority="39" operator="greaterThan">
      <formula>0.05</formula>
    </cfRule>
    <cfRule type="cellIs" dxfId="20" priority="40" operator="between">
      <formula>-0.05</formula>
      <formula>0.05</formula>
    </cfRule>
  </conditionalFormatting>
  <conditionalFormatting sqref="G114">
    <cfRule type="cellIs" dxfId="19" priority="31" operator="equal">
      <formula>0</formula>
    </cfRule>
    <cfRule type="cellIs" priority="32" stopIfTrue="1" operator="equal">
      <formula>0%</formula>
    </cfRule>
    <cfRule type="cellIs" dxfId="18" priority="33" operator="between">
      <formula>0.05</formula>
      <formula>-0.05</formula>
    </cfRule>
    <cfRule type="cellIs" dxfId="17" priority="34" operator="greaterThan">
      <formula>0.05</formula>
    </cfRule>
    <cfRule type="cellIs" dxfId="16" priority="35" operator="lessThan">
      <formula>0.05</formula>
    </cfRule>
  </conditionalFormatting>
  <conditionalFormatting sqref="Q95:Q109">
    <cfRule type="cellIs" dxfId="15" priority="1" operator="equal">
      <formula>0</formula>
    </cfRule>
    <cfRule type="cellIs" priority="2" stopIfTrue="1" operator="equal">
      <formula>0</formula>
    </cfRule>
    <cfRule type="cellIs" dxfId="14" priority="3" operator="lessThan">
      <formula>-0.05</formula>
    </cfRule>
    <cfRule type="cellIs" dxfId="13" priority="4" operator="greaterThan">
      <formula>0.05</formula>
    </cfRule>
    <cfRule type="cellIs" dxfId="12" priority="5" operator="between">
      <formula>-0.05</formula>
      <formula>0.05</formula>
    </cfRule>
  </conditionalFormatting>
  <conditionalFormatting sqref="AT95:AT107">
    <cfRule type="cellIs" dxfId="11" priority="16" operator="equal">
      <formula>0</formula>
    </cfRule>
    <cfRule type="cellIs" priority="17" stopIfTrue="1" operator="equal">
      <formula>0</formula>
    </cfRule>
    <cfRule type="cellIs" dxfId="10" priority="18" operator="lessThan">
      <formula>-0.05</formula>
    </cfRule>
    <cfRule type="cellIs" dxfId="9" priority="19" operator="greaterThan">
      <formula>0.05</formula>
    </cfRule>
    <cfRule type="cellIs" dxfId="8" priority="20" operator="between">
      <formula>-0.05</formula>
      <formula>0.05</formula>
    </cfRule>
  </conditionalFormatting>
  <conditionalFormatting sqref="K95:K109">
    <cfRule type="cellIs" dxfId="7" priority="11" operator="equal">
      <formula>0</formula>
    </cfRule>
    <cfRule type="cellIs" priority="12" stopIfTrue="1" operator="equal">
      <formula>0</formula>
    </cfRule>
    <cfRule type="cellIs" dxfId="6" priority="13" operator="lessThan">
      <formula>-0.05</formula>
    </cfRule>
    <cfRule type="cellIs" dxfId="5" priority="14" operator="greaterThan">
      <formula>0.05</formula>
    </cfRule>
    <cfRule type="cellIs" dxfId="4" priority="15" operator="between">
      <formula>-0.05</formula>
      <formula>0.05</formula>
    </cfRule>
  </conditionalFormatting>
  <conditionalFormatting sqref="N95:N109">
    <cfRule type="cellIs" dxfId="3" priority="6" operator="equal">
      <formula>0</formula>
    </cfRule>
    <cfRule type="cellIs" priority="7" stopIfTrue="1" operator="equal">
      <formula>0</formula>
    </cfRule>
    <cfRule type="cellIs" dxfId="2" priority="8" operator="lessThan">
      <formula>-0.05</formula>
    </cfRule>
    <cfRule type="cellIs" dxfId="1" priority="9" operator="greaterThan">
      <formula>0.05</formula>
    </cfRule>
    <cfRule type="cellIs" dxfId="0" priority="10" operator="between">
      <formula>-0.05</formula>
      <formula>0.05</formula>
    </cfRule>
  </conditionalFormatting>
  <dataValidations count="1">
    <dataValidation type="list" allowBlank="1" showInputMessage="1" showErrorMessage="1" sqref="AR6 BG6 O6 H6:I6 AE6 L6" xr:uid="{E2EEE73F-41FB-4219-97F4-83AEEFC9EE2E}">
      <formula1>$CZ$1:$CZ$12</formula1>
    </dataValidation>
  </dataValidations>
  <pageMargins left="0.7" right="0.7" top="0.75" bottom="0.75" header="0.3" footer="0.3"/>
  <pageSetup orientation="portrait" r:id="rId1"/>
  <ignoredErrors>
    <ignoredError sqref="D21" unlockedFormula="1"/>
    <ignoredError sqref="BK29 BK38:BK7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C58-5667-401D-A032-84A33D2AA6A2}">
  <dimension ref="A1"/>
  <sheetViews>
    <sheetView workbookViewId="0">
      <selection activeCell="J14" sqref="J14"/>
    </sheetView>
  </sheetViews>
  <sheetFormatPr defaultColWidth="8.77734375" defaultRowHeight="16.5"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5ACD-7603-4ED2-A45A-A82EAA10C976}">
  <dimension ref="C1:K12"/>
  <sheetViews>
    <sheetView showGridLines="0" zoomScale="90" zoomScaleNormal="90" workbookViewId="0">
      <pane ySplit="1" topLeftCell="A2" activePane="bottomLeft" state="frozen"/>
      <selection pane="bottomLeft" activeCell="F6" sqref="F6"/>
    </sheetView>
  </sheetViews>
  <sheetFormatPr defaultColWidth="9.77734375" defaultRowHeight="18" x14ac:dyDescent="0.35"/>
  <cols>
    <col min="1" max="1" width="9.77734375" style="152"/>
    <col min="2" max="2" width="5.109375" style="152" customWidth="1"/>
    <col min="3" max="3" width="18.109375" style="152" customWidth="1"/>
    <col min="4" max="4" width="16.44140625" style="152" customWidth="1"/>
    <col min="5" max="5" width="22.77734375" style="152" customWidth="1"/>
    <col min="6" max="6" width="26.44140625" style="152" customWidth="1"/>
    <col min="7" max="7" width="23.44140625" style="152" customWidth="1"/>
    <col min="8" max="8" width="25.44140625" style="152" customWidth="1"/>
    <col min="9" max="9" width="24.77734375" style="152" customWidth="1"/>
    <col min="10" max="10" width="26.77734375" style="152" customWidth="1"/>
    <col min="11" max="16384" width="9.77734375" style="152"/>
  </cols>
  <sheetData>
    <row r="1" spans="3:11" x14ac:dyDescent="0.35">
      <c r="C1" s="154"/>
      <c r="D1" s="159" t="s">
        <v>119</v>
      </c>
      <c r="E1" s="159" t="s">
        <v>120</v>
      </c>
      <c r="F1" s="159" t="s">
        <v>121</v>
      </c>
      <c r="G1" s="159" t="s">
        <v>122</v>
      </c>
      <c r="H1" s="159" t="s">
        <v>123</v>
      </c>
      <c r="I1" s="159" t="s">
        <v>124</v>
      </c>
      <c r="J1" s="159" t="s">
        <v>125</v>
      </c>
    </row>
    <row r="2" spans="3:11" ht="36" x14ac:dyDescent="0.35">
      <c r="C2" s="156" t="s">
        <v>170</v>
      </c>
      <c r="D2" s="156"/>
      <c r="E2" s="156" t="s">
        <v>126</v>
      </c>
      <c r="F2" s="155" t="s">
        <v>127</v>
      </c>
      <c r="G2" s="157" t="s">
        <v>128</v>
      </c>
      <c r="H2" s="157" t="s">
        <v>128</v>
      </c>
      <c r="I2" s="157" t="s">
        <v>128</v>
      </c>
      <c r="J2" s="157" t="s">
        <v>169</v>
      </c>
    </row>
    <row r="3" spans="3:11" ht="251.25" customHeight="1" x14ac:dyDescent="0.35">
      <c r="C3" s="156" t="s">
        <v>172</v>
      </c>
      <c r="D3" s="157" t="s">
        <v>129</v>
      </c>
      <c r="E3" s="157" t="s">
        <v>130</v>
      </c>
      <c r="F3" s="158" t="s">
        <v>131</v>
      </c>
      <c r="G3" s="157" t="s">
        <v>132</v>
      </c>
      <c r="H3" s="157" t="s">
        <v>133</v>
      </c>
      <c r="I3" s="158" t="s">
        <v>134</v>
      </c>
      <c r="J3" s="158" t="s">
        <v>168</v>
      </c>
      <c r="K3" s="153"/>
    </row>
    <row r="4" spans="3:11" ht="36" x14ac:dyDescent="0.35">
      <c r="C4" s="156" t="s">
        <v>135</v>
      </c>
      <c r="D4" s="156"/>
      <c r="E4" s="157" t="s">
        <v>136</v>
      </c>
      <c r="F4" s="157" t="s">
        <v>137</v>
      </c>
      <c r="G4" s="157" t="s">
        <v>138</v>
      </c>
      <c r="H4" s="157" t="s">
        <v>138</v>
      </c>
      <c r="I4" s="157" t="s">
        <v>139</v>
      </c>
      <c r="J4" s="157" t="s">
        <v>139</v>
      </c>
    </row>
    <row r="5" spans="3:11" ht="252" x14ac:dyDescent="0.35">
      <c r="C5" s="156" t="s">
        <v>140</v>
      </c>
      <c r="D5" s="156"/>
      <c r="E5" s="157" t="s">
        <v>141</v>
      </c>
      <c r="F5" s="157" t="s">
        <v>142</v>
      </c>
      <c r="G5" s="157" t="s">
        <v>143</v>
      </c>
      <c r="H5" s="157" t="s">
        <v>144</v>
      </c>
      <c r="I5" s="157" t="s">
        <v>145</v>
      </c>
      <c r="J5" s="157" t="s">
        <v>146</v>
      </c>
    </row>
    <row r="6" spans="3:11" ht="198" x14ac:dyDescent="0.35">
      <c r="C6" s="156" t="s">
        <v>147</v>
      </c>
      <c r="D6" s="156"/>
      <c r="E6" s="157" t="s">
        <v>148</v>
      </c>
      <c r="F6" s="157" t="s">
        <v>149</v>
      </c>
      <c r="G6" s="157" t="s">
        <v>150</v>
      </c>
      <c r="H6" s="157" t="s">
        <v>151</v>
      </c>
      <c r="I6" s="157" t="s">
        <v>152</v>
      </c>
      <c r="J6" s="157" t="s">
        <v>153</v>
      </c>
    </row>
    <row r="7" spans="3:11" ht="54" x14ac:dyDescent="0.35">
      <c r="C7" s="156" t="s">
        <v>154</v>
      </c>
      <c r="D7" s="156" t="s">
        <v>155</v>
      </c>
      <c r="E7" s="157" t="s">
        <v>156</v>
      </c>
      <c r="F7" s="157" t="s">
        <v>157</v>
      </c>
      <c r="G7" s="157"/>
      <c r="H7" s="154"/>
      <c r="I7" s="154" t="s">
        <v>158</v>
      </c>
      <c r="J7" s="154" t="s">
        <v>159</v>
      </c>
    </row>
    <row r="8" spans="3:11" ht="119.25" customHeight="1" x14ac:dyDescent="0.35">
      <c r="C8" s="154" t="s">
        <v>171</v>
      </c>
      <c r="D8" s="154"/>
      <c r="E8" s="154"/>
      <c r="F8" s="154" t="s">
        <v>160</v>
      </c>
      <c r="G8" s="155" t="s">
        <v>177</v>
      </c>
      <c r="H8" s="155" t="s">
        <v>175</v>
      </c>
      <c r="I8" s="155" t="s">
        <v>175</v>
      </c>
      <c r="J8" s="155" t="s">
        <v>176</v>
      </c>
    </row>
    <row r="9" spans="3:11" x14ac:dyDescent="0.35">
      <c r="C9" s="154" t="s">
        <v>173</v>
      </c>
      <c r="D9" s="154"/>
      <c r="E9" s="154" t="s">
        <v>184</v>
      </c>
      <c r="F9" s="154" t="s">
        <v>185</v>
      </c>
      <c r="G9" s="154" t="s">
        <v>178</v>
      </c>
      <c r="H9" s="154" t="s">
        <v>181</v>
      </c>
      <c r="I9" s="154" t="s">
        <v>183</v>
      </c>
      <c r="J9" s="154" t="s">
        <v>182</v>
      </c>
    </row>
    <row r="10" spans="3:11" x14ac:dyDescent="0.35">
      <c r="C10" s="154" t="s">
        <v>161</v>
      </c>
      <c r="D10" s="154"/>
      <c r="E10" s="154" t="s">
        <v>162</v>
      </c>
      <c r="F10" s="155" t="s">
        <v>163</v>
      </c>
      <c r="G10" s="156"/>
      <c r="H10" s="154"/>
      <c r="I10" s="155" t="s">
        <v>163</v>
      </c>
      <c r="J10" s="155" t="s">
        <v>163</v>
      </c>
    </row>
    <row r="11" spans="3:11" x14ac:dyDescent="0.35">
      <c r="C11" s="154"/>
      <c r="D11" s="154"/>
      <c r="E11" s="154"/>
      <c r="F11" s="154"/>
      <c r="G11" s="154"/>
      <c r="H11" s="154"/>
      <c r="I11" s="154"/>
      <c r="J11" s="154"/>
    </row>
    <row r="12" spans="3:11" x14ac:dyDescent="0.35">
      <c r="C12" s="154" t="s">
        <v>164</v>
      </c>
      <c r="D12" s="154"/>
      <c r="E12" s="159" t="s">
        <v>165</v>
      </c>
      <c r="F12" s="159" t="s">
        <v>166</v>
      </c>
      <c r="G12" s="159" t="s">
        <v>174</v>
      </c>
      <c r="H12" s="159" t="s">
        <v>179</v>
      </c>
      <c r="I12" s="159" t="s">
        <v>180</v>
      </c>
      <c r="J12" s="159" t="s">
        <v>167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074A-B5E5-49CF-A036-1D9B90E571BF}">
  <dimension ref="A1"/>
  <sheetViews>
    <sheetView workbookViewId="0">
      <selection activeCell="F23" sqref="F23"/>
    </sheetView>
  </sheetViews>
  <sheetFormatPr defaultColWidth="8.77734375" defaultRowHeight="16.5"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A766-6346-449D-BDC6-B14A5C53D942}">
  <dimension ref="B3:F35"/>
  <sheetViews>
    <sheetView topLeftCell="B6" workbookViewId="0">
      <selection activeCell="B4" sqref="B4:F32"/>
    </sheetView>
  </sheetViews>
  <sheetFormatPr defaultColWidth="8.77734375" defaultRowHeight="16.5" x14ac:dyDescent="0.3"/>
  <cols>
    <col min="2" max="2" width="15.109375" customWidth="1"/>
    <col min="3" max="3" width="15.33203125" customWidth="1"/>
    <col min="4" max="4" width="10" bestFit="1" customWidth="1"/>
  </cols>
  <sheetData>
    <row r="3" spans="2:5" x14ac:dyDescent="0.3">
      <c r="B3" s="45"/>
    </row>
    <row r="4" spans="2:5" x14ac:dyDescent="0.3">
      <c r="B4" s="45"/>
      <c r="D4" s="237"/>
    </row>
    <row r="5" spans="2:5" x14ac:dyDescent="0.3">
      <c r="B5" s="45"/>
      <c r="D5" s="238"/>
    </row>
    <row r="6" spans="2:5" x14ac:dyDescent="0.3">
      <c r="B6" s="45"/>
      <c r="D6" s="237"/>
    </row>
    <row r="7" spans="2:5" x14ac:dyDescent="0.3">
      <c r="B7" s="45"/>
      <c r="D7" s="237"/>
    </row>
    <row r="8" spans="2:5" x14ac:dyDescent="0.3">
      <c r="B8" s="45"/>
      <c r="D8" s="237"/>
    </row>
    <row r="9" spans="2:5" x14ac:dyDescent="0.3">
      <c r="B9" s="45"/>
    </row>
    <row r="10" spans="2:5" x14ac:dyDescent="0.3">
      <c r="B10" s="45"/>
      <c r="D10" s="237"/>
    </row>
    <row r="11" spans="2:5" x14ac:dyDescent="0.3">
      <c r="B11" s="45"/>
    </row>
    <row r="12" spans="2:5" x14ac:dyDescent="0.3">
      <c r="B12" s="45"/>
      <c r="D12" s="239"/>
    </row>
    <row r="13" spans="2:5" x14ac:dyDescent="0.3">
      <c r="B13" s="45" t="s">
        <v>597</v>
      </c>
      <c r="D13">
        <v>10000</v>
      </c>
      <c r="E13" t="s">
        <v>4</v>
      </c>
    </row>
    <row r="18" spans="2:6" x14ac:dyDescent="0.3">
      <c r="B18" t="s">
        <v>598</v>
      </c>
      <c r="D18">
        <v>20000</v>
      </c>
      <c r="E18" t="s">
        <v>603</v>
      </c>
    </row>
    <row r="22" spans="2:6" x14ac:dyDescent="0.3">
      <c r="B22" t="s">
        <v>599</v>
      </c>
      <c r="D22">
        <v>25000</v>
      </c>
      <c r="E22" t="s">
        <v>602</v>
      </c>
    </row>
    <row r="26" spans="2:6" x14ac:dyDescent="0.3">
      <c r="B26" t="s">
        <v>600</v>
      </c>
      <c r="D26">
        <v>15000</v>
      </c>
      <c r="E26" t="s">
        <v>602</v>
      </c>
    </row>
    <row r="29" spans="2:6" x14ac:dyDescent="0.3">
      <c r="B29" t="s">
        <v>601</v>
      </c>
      <c r="D29">
        <v>10000</v>
      </c>
      <c r="E29" t="s">
        <v>602</v>
      </c>
      <c r="F29">
        <f>50000/3</f>
        <v>16666.666666666668</v>
      </c>
    </row>
    <row r="32" spans="2:6" x14ac:dyDescent="0.3">
      <c r="B32" t="s">
        <v>604</v>
      </c>
      <c r="D32">
        <v>10000</v>
      </c>
      <c r="E32" t="s">
        <v>605</v>
      </c>
    </row>
    <row r="35" spans="2:5" x14ac:dyDescent="0.3">
      <c r="B35" t="s">
        <v>46</v>
      </c>
      <c r="D35">
        <v>10000</v>
      </c>
      <c r="E35" t="s">
        <v>606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910C-651A-4445-A8E8-EA15061E82AD}">
  <dimension ref="A4:K37"/>
  <sheetViews>
    <sheetView topLeftCell="A11" workbookViewId="0">
      <selection activeCell="E38" sqref="E38"/>
    </sheetView>
  </sheetViews>
  <sheetFormatPr defaultColWidth="8.77734375" defaultRowHeight="16.5" x14ac:dyDescent="0.3"/>
  <cols>
    <col min="2" max="4" width="23.77734375" customWidth="1"/>
    <col min="5" max="5" width="11.44140625" customWidth="1"/>
    <col min="6" max="7" width="12.33203125" bestFit="1" customWidth="1"/>
    <col min="8" max="8" width="11.109375" bestFit="1" customWidth="1"/>
    <col min="9" max="9" width="12.109375" customWidth="1"/>
    <col min="10" max="10" width="11.109375" bestFit="1" customWidth="1"/>
    <col min="11" max="11" width="12.33203125" bestFit="1" customWidth="1"/>
  </cols>
  <sheetData>
    <row r="4" spans="1:11" x14ac:dyDescent="0.3">
      <c r="B4" t="s">
        <v>186</v>
      </c>
      <c r="F4">
        <v>2000</v>
      </c>
      <c r="G4">
        <v>250</v>
      </c>
      <c r="H4">
        <v>100</v>
      </c>
      <c r="I4">
        <v>35</v>
      </c>
    </row>
    <row r="5" spans="1:11" x14ac:dyDescent="0.3">
      <c r="D5" t="s">
        <v>623</v>
      </c>
      <c r="E5" t="s">
        <v>192</v>
      </c>
      <c r="F5" s="45" t="s">
        <v>188</v>
      </c>
      <c r="G5" s="45" t="s">
        <v>189</v>
      </c>
      <c r="H5" s="45" t="s">
        <v>190</v>
      </c>
      <c r="I5" s="45" t="s">
        <v>191</v>
      </c>
      <c r="J5" s="45" t="s">
        <v>46</v>
      </c>
      <c r="K5" s="45" t="s">
        <v>1</v>
      </c>
    </row>
    <row r="6" spans="1:11" x14ac:dyDescent="0.3">
      <c r="A6" t="s">
        <v>196</v>
      </c>
      <c r="B6" t="s">
        <v>187</v>
      </c>
      <c r="C6" t="s">
        <v>194</v>
      </c>
      <c r="D6">
        <v>2</v>
      </c>
      <c r="E6">
        <v>4</v>
      </c>
      <c r="F6" s="160">
        <f>$F$4*D6</f>
        <v>4000</v>
      </c>
      <c r="G6" s="160">
        <f>$G$4*E6*D6</f>
        <v>2000</v>
      </c>
      <c r="H6" s="160">
        <f>$H$4*E6*D6</f>
        <v>800</v>
      </c>
      <c r="I6" s="160">
        <f>$I$4*E6*2</f>
        <v>280</v>
      </c>
      <c r="J6" s="160"/>
      <c r="K6" s="160">
        <f>SUM(F6:J6)</f>
        <v>7080</v>
      </c>
    </row>
    <row r="7" spans="1:11" x14ac:dyDescent="0.3">
      <c r="A7" t="s">
        <v>9</v>
      </c>
      <c r="B7" t="s">
        <v>624</v>
      </c>
      <c r="C7" t="s">
        <v>625</v>
      </c>
      <c r="D7">
        <v>2</v>
      </c>
      <c r="E7">
        <v>5</v>
      </c>
      <c r="F7" s="160">
        <f t="shared" ref="F7:F11" si="0">$F$4*D7</f>
        <v>4000</v>
      </c>
      <c r="G7" s="160">
        <f t="shared" ref="G7:G11" si="1">$G$4*E7*D7</f>
        <v>2500</v>
      </c>
      <c r="H7" s="160">
        <f t="shared" ref="H7:H11" si="2">$H$4*E7*D7</f>
        <v>1000</v>
      </c>
      <c r="I7" s="160">
        <f t="shared" ref="I7:I11" si="3">$I$4*E7*2</f>
        <v>350</v>
      </c>
      <c r="J7" s="160"/>
      <c r="K7" s="160">
        <f t="shared" ref="K7:K13" si="4">SUM(F7:J7)</f>
        <v>7850</v>
      </c>
    </row>
    <row r="8" spans="1:11" x14ac:dyDescent="0.3">
      <c r="A8" t="s">
        <v>197</v>
      </c>
      <c r="B8" t="s">
        <v>46</v>
      </c>
      <c r="C8" t="s">
        <v>46</v>
      </c>
      <c r="D8">
        <v>2</v>
      </c>
      <c r="E8">
        <v>5</v>
      </c>
      <c r="F8" s="160">
        <f t="shared" si="0"/>
        <v>4000</v>
      </c>
      <c r="G8" s="160">
        <f t="shared" si="1"/>
        <v>2500</v>
      </c>
      <c r="H8" s="160">
        <f t="shared" si="2"/>
        <v>1000</v>
      </c>
      <c r="I8" s="160">
        <f t="shared" si="3"/>
        <v>350</v>
      </c>
      <c r="J8" s="160"/>
      <c r="K8" s="160">
        <f t="shared" si="4"/>
        <v>7850</v>
      </c>
    </row>
    <row r="9" spans="1:11" x14ac:dyDescent="0.3">
      <c r="F9" s="160">
        <f t="shared" si="0"/>
        <v>0</v>
      </c>
      <c r="G9" s="160">
        <f t="shared" si="1"/>
        <v>0</v>
      </c>
      <c r="H9" s="160">
        <f t="shared" si="2"/>
        <v>0</v>
      </c>
      <c r="I9" s="160">
        <f t="shared" si="3"/>
        <v>0</v>
      </c>
      <c r="J9" s="160"/>
      <c r="K9" s="160">
        <f t="shared" si="4"/>
        <v>0</v>
      </c>
    </row>
    <row r="10" spans="1:11" x14ac:dyDescent="0.3">
      <c r="F10" s="160">
        <f t="shared" si="0"/>
        <v>0</v>
      </c>
      <c r="G10" s="160">
        <f t="shared" si="1"/>
        <v>0</v>
      </c>
      <c r="H10" s="160">
        <f t="shared" si="2"/>
        <v>0</v>
      </c>
      <c r="I10" s="160">
        <f t="shared" si="3"/>
        <v>0</v>
      </c>
      <c r="J10" s="160"/>
      <c r="K10" s="160">
        <f t="shared" si="4"/>
        <v>0</v>
      </c>
    </row>
    <row r="11" spans="1:11" x14ac:dyDescent="0.3">
      <c r="A11" t="s">
        <v>198</v>
      </c>
      <c r="B11" t="s">
        <v>193</v>
      </c>
      <c r="C11" t="s">
        <v>626</v>
      </c>
      <c r="D11">
        <v>6</v>
      </c>
      <c r="E11">
        <v>7</v>
      </c>
      <c r="F11" s="160">
        <f t="shared" si="0"/>
        <v>12000</v>
      </c>
      <c r="G11" s="160">
        <f t="shared" si="1"/>
        <v>10500</v>
      </c>
      <c r="H11" s="160">
        <f t="shared" si="2"/>
        <v>4200</v>
      </c>
      <c r="I11" s="160">
        <f t="shared" si="3"/>
        <v>490</v>
      </c>
      <c r="J11" s="160"/>
      <c r="K11" s="160">
        <f t="shared" si="4"/>
        <v>27190</v>
      </c>
    </row>
    <row r="12" spans="1:11" x14ac:dyDescent="0.3">
      <c r="F12" s="160"/>
      <c r="G12" s="160"/>
      <c r="H12" s="160"/>
      <c r="I12" s="160"/>
      <c r="J12" s="160"/>
      <c r="K12" s="160"/>
    </row>
    <row r="13" spans="1:11" x14ac:dyDescent="0.3">
      <c r="F13" s="161">
        <f>SUM(F6:F11)</f>
        <v>24000</v>
      </c>
      <c r="G13" s="161">
        <f>SUM(G6:G11)</f>
        <v>17500</v>
      </c>
      <c r="H13" s="161">
        <f>SUM(H6:H11)</f>
        <v>7000</v>
      </c>
      <c r="I13" s="161">
        <f>SUM(I6:I11)</f>
        <v>1470</v>
      </c>
      <c r="J13" s="161">
        <f>SUM(J6:J11)</f>
        <v>0</v>
      </c>
      <c r="K13" s="161">
        <f t="shared" si="4"/>
        <v>49970</v>
      </c>
    </row>
    <row r="14" spans="1:11" x14ac:dyDescent="0.3">
      <c r="F14" s="160"/>
      <c r="G14" s="160"/>
      <c r="H14" s="160"/>
      <c r="I14" s="160"/>
      <c r="J14" s="160"/>
      <c r="K14" s="160"/>
    </row>
    <row r="15" spans="1:11" x14ac:dyDescent="0.3">
      <c r="F15" s="160"/>
      <c r="G15" s="160"/>
      <c r="H15" s="160"/>
      <c r="I15" s="160"/>
      <c r="J15" s="160"/>
      <c r="K15" s="160"/>
    </row>
    <row r="16" spans="1:11" x14ac:dyDescent="0.3">
      <c r="F16" s="161"/>
      <c r="G16" s="161"/>
      <c r="H16" s="161"/>
      <c r="I16" s="161"/>
      <c r="J16" s="161"/>
      <c r="K16" s="161"/>
    </row>
    <row r="17" spans="5:11" x14ac:dyDescent="0.3">
      <c r="F17" s="160"/>
      <c r="G17" s="160"/>
      <c r="H17" s="160"/>
      <c r="I17" s="160"/>
      <c r="J17" s="160"/>
      <c r="K17" s="160"/>
    </row>
    <row r="18" spans="5:11" ht="17.25" thickBot="1" x14ac:dyDescent="0.35">
      <c r="F18" s="162">
        <f>F13</f>
        <v>24000</v>
      </c>
      <c r="G18" s="162">
        <f t="shared" ref="G18:K18" si="5">G13</f>
        <v>17500</v>
      </c>
      <c r="H18" s="162">
        <f t="shared" si="5"/>
        <v>7000</v>
      </c>
      <c r="I18" s="162">
        <f t="shared" si="5"/>
        <v>1470</v>
      </c>
      <c r="J18" s="162">
        <f t="shared" si="5"/>
        <v>0</v>
      </c>
      <c r="K18" s="162">
        <f t="shared" si="5"/>
        <v>49970</v>
      </c>
    </row>
    <row r="19" spans="5:11" ht="17.25" thickTop="1" x14ac:dyDescent="0.3"/>
    <row r="20" spans="5:11" x14ac:dyDescent="0.3">
      <c r="E20" t="s">
        <v>195</v>
      </c>
      <c r="F20">
        <f t="shared" ref="F20:K31" si="6">SUMIF($A$6:$A$14,$E20,F$6:F$14)</f>
        <v>0</v>
      </c>
      <c r="G20">
        <f t="shared" si="6"/>
        <v>0</v>
      </c>
      <c r="H20">
        <f t="shared" si="6"/>
        <v>0</v>
      </c>
      <c r="I20">
        <f t="shared" si="6"/>
        <v>0</v>
      </c>
      <c r="J20">
        <f t="shared" si="6"/>
        <v>0</v>
      </c>
      <c r="K20">
        <f t="shared" si="6"/>
        <v>0</v>
      </c>
    </row>
    <row r="21" spans="5:11" x14ac:dyDescent="0.3">
      <c r="E21" t="s">
        <v>196</v>
      </c>
      <c r="F21">
        <f>SUMIF($A$6:$A$14,$E21,F$6:F$14)</f>
        <v>4000</v>
      </c>
      <c r="G21">
        <f t="shared" si="6"/>
        <v>2000</v>
      </c>
      <c r="H21">
        <f t="shared" si="6"/>
        <v>800</v>
      </c>
      <c r="I21">
        <f t="shared" si="6"/>
        <v>280</v>
      </c>
      <c r="J21">
        <f t="shared" si="6"/>
        <v>0</v>
      </c>
      <c r="K21">
        <f t="shared" si="6"/>
        <v>7080</v>
      </c>
    </row>
    <row r="22" spans="5:11" x14ac:dyDescent="0.3">
      <c r="E22" t="s">
        <v>32</v>
      </c>
      <c r="F22">
        <f t="shared" si="6"/>
        <v>0</v>
      </c>
      <c r="G22">
        <f t="shared" si="6"/>
        <v>0</v>
      </c>
      <c r="H22">
        <f t="shared" si="6"/>
        <v>0</v>
      </c>
      <c r="I22">
        <f t="shared" si="6"/>
        <v>0</v>
      </c>
      <c r="J22">
        <f t="shared" si="6"/>
        <v>0</v>
      </c>
      <c r="K22">
        <f t="shared" si="6"/>
        <v>0</v>
      </c>
    </row>
    <row r="23" spans="5:11" x14ac:dyDescent="0.3">
      <c r="E23" t="s">
        <v>33</v>
      </c>
      <c r="F23">
        <f t="shared" si="6"/>
        <v>0</v>
      </c>
      <c r="G23">
        <f t="shared" si="6"/>
        <v>0</v>
      </c>
      <c r="H23">
        <f t="shared" si="6"/>
        <v>0</v>
      </c>
      <c r="I23">
        <f t="shared" si="6"/>
        <v>0</v>
      </c>
      <c r="J23">
        <f t="shared" si="6"/>
        <v>0</v>
      </c>
      <c r="K23">
        <f t="shared" si="6"/>
        <v>0</v>
      </c>
    </row>
    <row r="24" spans="5:11" x14ac:dyDescent="0.3">
      <c r="E24" t="s">
        <v>7</v>
      </c>
      <c r="F24">
        <f t="shared" si="6"/>
        <v>0</v>
      </c>
      <c r="G24">
        <f t="shared" si="6"/>
        <v>0</v>
      </c>
      <c r="H24">
        <f t="shared" si="6"/>
        <v>0</v>
      </c>
      <c r="I24">
        <f t="shared" si="6"/>
        <v>0</v>
      </c>
      <c r="J24">
        <f t="shared" si="6"/>
        <v>0</v>
      </c>
      <c r="K24">
        <f t="shared" si="6"/>
        <v>0</v>
      </c>
    </row>
    <row r="25" spans="5:11" x14ac:dyDescent="0.3">
      <c r="E25" t="s">
        <v>34</v>
      </c>
      <c r="F25">
        <f t="shared" si="6"/>
        <v>0</v>
      </c>
      <c r="G25">
        <f t="shared" si="6"/>
        <v>0</v>
      </c>
      <c r="H25">
        <f t="shared" si="6"/>
        <v>0</v>
      </c>
      <c r="I25">
        <f t="shared" si="6"/>
        <v>0</v>
      </c>
      <c r="J25">
        <f t="shared" si="6"/>
        <v>0</v>
      </c>
      <c r="K25">
        <f t="shared" si="6"/>
        <v>0</v>
      </c>
    </row>
    <row r="26" spans="5:11" x14ac:dyDescent="0.3">
      <c r="E26" t="s">
        <v>9</v>
      </c>
      <c r="F26">
        <f t="shared" si="6"/>
        <v>4000</v>
      </c>
      <c r="G26">
        <f t="shared" si="6"/>
        <v>2500</v>
      </c>
      <c r="H26">
        <f t="shared" si="6"/>
        <v>1000</v>
      </c>
      <c r="I26">
        <f t="shared" si="6"/>
        <v>350</v>
      </c>
      <c r="J26">
        <f t="shared" si="6"/>
        <v>0</v>
      </c>
      <c r="K26">
        <f t="shared" si="6"/>
        <v>7850</v>
      </c>
    </row>
    <row r="27" spans="5:11" x14ac:dyDescent="0.3">
      <c r="E27" t="s">
        <v>35</v>
      </c>
      <c r="F27">
        <f t="shared" si="6"/>
        <v>0</v>
      </c>
      <c r="G27">
        <f t="shared" si="6"/>
        <v>0</v>
      </c>
      <c r="H27">
        <f t="shared" si="6"/>
        <v>0</v>
      </c>
      <c r="I27">
        <f t="shared" si="6"/>
        <v>0</v>
      </c>
      <c r="J27">
        <f t="shared" si="6"/>
        <v>0</v>
      </c>
      <c r="K27">
        <f t="shared" si="6"/>
        <v>0</v>
      </c>
    </row>
    <row r="28" spans="5:11" x14ac:dyDescent="0.3">
      <c r="E28" t="s">
        <v>197</v>
      </c>
      <c r="F28">
        <f t="shared" si="6"/>
        <v>4000</v>
      </c>
      <c r="G28">
        <f t="shared" si="6"/>
        <v>2500</v>
      </c>
      <c r="H28">
        <f t="shared" si="6"/>
        <v>1000</v>
      </c>
      <c r="I28">
        <f t="shared" si="6"/>
        <v>350</v>
      </c>
      <c r="J28">
        <f t="shared" si="6"/>
        <v>0</v>
      </c>
      <c r="K28">
        <f t="shared" si="6"/>
        <v>7850</v>
      </c>
    </row>
    <row r="29" spans="5:11" x14ac:dyDescent="0.3">
      <c r="E29" t="s">
        <v>198</v>
      </c>
      <c r="F29">
        <f t="shared" si="6"/>
        <v>12000</v>
      </c>
      <c r="G29">
        <f t="shared" si="6"/>
        <v>10500</v>
      </c>
      <c r="H29">
        <f t="shared" si="6"/>
        <v>4200</v>
      </c>
      <c r="I29">
        <f t="shared" si="6"/>
        <v>490</v>
      </c>
      <c r="J29">
        <f t="shared" si="6"/>
        <v>0</v>
      </c>
      <c r="K29">
        <f t="shared" si="6"/>
        <v>27190</v>
      </c>
    </row>
    <row r="30" spans="5:11" x14ac:dyDescent="0.3">
      <c r="E30" t="s">
        <v>199</v>
      </c>
      <c r="F30">
        <f t="shared" si="6"/>
        <v>0</v>
      </c>
      <c r="G30">
        <f t="shared" si="6"/>
        <v>0</v>
      </c>
      <c r="H30">
        <f t="shared" si="6"/>
        <v>0</v>
      </c>
      <c r="I30">
        <f t="shared" si="6"/>
        <v>0</v>
      </c>
      <c r="J30">
        <f t="shared" si="6"/>
        <v>0</v>
      </c>
      <c r="K30">
        <f t="shared" si="6"/>
        <v>0</v>
      </c>
    </row>
    <row r="31" spans="5:11" x14ac:dyDescent="0.3">
      <c r="E31" t="s">
        <v>200</v>
      </c>
      <c r="F31">
        <f t="shared" si="6"/>
        <v>0</v>
      </c>
      <c r="G31">
        <f t="shared" si="6"/>
        <v>0</v>
      </c>
      <c r="H31">
        <f t="shared" si="6"/>
        <v>0</v>
      </c>
      <c r="I31">
        <f t="shared" si="6"/>
        <v>0</v>
      </c>
      <c r="J31">
        <f t="shared" si="6"/>
        <v>0</v>
      </c>
      <c r="K31">
        <f t="shared" si="6"/>
        <v>0</v>
      </c>
    </row>
    <row r="33" spans="5:11" x14ac:dyDescent="0.3">
      <c r="F33">
        <f t="shared" ref="F33:K33" si="7">SUM(F20:F31)</f>
        <v>24000</v>
      </c>
      <c r="G33">
        <f t="shared" si="7"/>
        <v>17500</v>
      </c>
      <c r="H33">
        <f t="shared" si="7"/>
        <v>7000</v>
      </c>
      <c r="I33">
        <f t="shared" si="7"/>
        <v>1470</v>
      </c>
      <c r="J33">
        <f t="shared" si="7"/>
        <v>0</v>
      </c>
      <c r="K33">
        <f t="shared" si="7"/>
        <v>49970</v>
      </c>
    </row>
    <row r="34" spans="5:11" x14ac:dyDescent="0.3">
      <c r="F34" s="163">
        <f>F18-F33</f>
        <v>0</v>
      </c>
      <c r="G34" s="163">
        <f t="shared" ref="G34:K34" si="8">G18-G33</f>
        <v>0</v>
      </c>
      <c r="H34" s="163">
        <f t="shared" si="8"/>
        <v>0</v>
      </c>
      <c r="I34" s="163">
        <f t="shared" si="8"/>
        <v>0</v>
      </c>
      <c r="J34" s="163">
        <f t="shared" si="8"/>
        <v>0</v>
      </c>
      <c r="K34" s="163">
        <f t="shared" si="8"/>
        <v>0</v>
      </c>
    </row>
    <row r="37" spans="5:11" x14ac:dyDescent="0.3">
      <c r="E37" t="s">
        <v>631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A7B2-2667-4832-8E8E-481A677854F4}">
  <dimension ref="A1:V361"/>
  <sheetViews>
    <sheetView showGridLines="0" topLeftCell="F1" workbookViewId="0">
      <selection activeCell="K24" sqref="K24"/>
    </sheetView>
  </sheetViews>
  <sheetFormatPr defaultColWidth="8.77734375" defaultRowHeight="15" x14ac:dyDescent="0.3"/>
  <cols>
    <col min="1" max="1" width="14.44140625" style="23" hidden="1" customWidth="1"/>
    <col min="2" max="2" width="10.44140625" style="23" hidden="1" customWidth="1"/>
    <col min="3" max="5" width="0" style="23" hidden="1" customWidth="1"/>
    <col min="6" max="6" width="9.33203125" style="23" customWidth="1"/>
    <col min="7" max="7" width="53.109375" style="23" customWidth="1"/>
    <col min="8" max="8" width="8.77734375" style="23"/>
    <col min="9" max="20" width="11.77734375" style="23" customWidth="1"/>
    <col min="21" max="21" width="12.77734375" style="23" customWidth="1"/>
    <col min="22" max="16384" width="8.77734375" style="23"/>
  </cols>
  <sheetData>
    <row r="1" spans="1:21" x14ac:dyDescent="0.3">
      <c r="G1" s="241" t="s">
        <v>617</v>
      </c>
    </row>
    <row r="3" spans="1:21" x14ac:dyDescent="0.3">
      <c r="G3" s="145"/>
      <c r="H3" s="145"/>
      <c r="I3" s="247"/>
      <c r="J3" s="145"/>
      <c r="K3" s="145"/>
      <c r="L3" s="145"/>
      <c r="M3" s="145"/>
      <c r="N3" s="145"/>
      <c r="O3" s="145"/>
      <c r="P3" s="145"/>
      <c r="Q3" s="145"/>
      <c r="R3" s="145"/>
      <c r="S3" s="145"/>
      <c r="T3" s="145"/>
      <c r="U3" s="145"/>
    </row>
    <row r="5" spans="1:21" x14ac:dyDescent="0.3">
      <c r="G5" s="23" t="s">
        <v>591</v>
      </c>
    </row>
    <row r="6" spans="1:21" x14ac:dyDescent="0.3">
      <c r="E6" s="240"/>
      <c r="I6" s="243" t="s">
        <v>195</v>
      </c>
      <c r="J6" s="243" t="s">
        <v>196</v>
      </c>
      <c r="K6" s="243" t="s">
        <v>32</v>
      </c>
      <c r="L6" s="243" t="s">
        <v>33</v>
      </c>
      <c r="M6" s="243" t="s">
        <v>7</v>
      </c>
      <c r="N6" s="243" t="s">
        <v>34</v>
      </c>
      <c r="O6" s="243" t="s">
        <v>9</v>
      </c>
      <c r="P6" s="243" t="s">
        <v>35</v>
      </c>
      <c r="Q6" s="243" t="s">
        <v>197</v>
      </c>
      <c r="R6" s="243" t="s">
        <v>198</v>
      </c>
      <c r="S6" s="243" t="s">
        <v>199</v>
      </c>
      <c r="T6" s="243" t="s">
        <v>200</v>
      </c>
    </row>
    <row r="7" spans="1:21" s="143" customFormat="1" x14ac:dyDescent="0.3">
      <c r="A7" s="129" t="s">
        <v>442</v>
      </c>
      <c r="B7" s="129" t="s">
        <v>443</v>
      </c>
      <c r="C7" s="129"/>
      <c r="D7" s="129"/>
      <c r="E7" s="129"/>
      <c r="G7" s="139" t="s">
        <v>50</v>
      </c>
      <c r="H7" s="140"/>
      <c r="I7" s="244">
        <v>44197</v>
      </c>
      <c r="J7" s="244">
        <v>44228</v>
      </c>
      <c r="K7" s="244">
        <v>44256</v>
      </c>
      <c r="L7" s="244">
        <v>44287</v>
      </c>
      <c r="M7" s="244">
        <v>44317</v>
      </c>
      <c r="N7" s="244">
        <v>44348</v>
      </c>
      <c r="O7" s="244">
        <v>44378</v>
      </c>
      <c r="P7" s="244">
        <v>44409</v>
      </c>
      <c r="Q7" s="244">
        <v>44440</v>
      </c>
      <c r="R7" s="244">
        <v>44470</v>
      </c>
      <c r="S7" s="244">
        <v>44501</v>
      </c>
      <c r="T7" s="244">
        <v>44531</v>
      </c>
      <c r="U7" s="144" t="s">
        <v>1</v>
      </c>
    </row>
    <row r="8" spans="1:21" s="122" customFormat="1" x14ac:dyDescent="0.3">
      <c r="G8" s="123"/>
      <c r="H8" s="124"/>
      <c r="I8" s="125"/>
      <c r="J8" s="125"/>
      <c r="K8" s="125"/>
      <c r="L8" s="125"/>
      <c r="M8" s="125"/>
      <c r="N8" s="125"/>
      <c r="O8" s="125"/>
      <c r="P8" s="125"/>
      <c r="Q8" s="125"/>
      <c r="R8" s="125"/>
      <c r="S8" s="125"/>
      <c r="T8" s="125"/>
      <c r="U8" s="132"/>
    </row>
    <row r="9" spans="1:21" s="122" customFormat="1" x14ac:dyDescent="0.3">
      <c r="G9" s="26" t="s">
        <v>114</v>
      </c>
      <c r="H9" s="124"/>
      <c r="I9" s="28"/>
      <c r="J9" s="28"/>
      <c r="K9" s="28"/>
      <c r="L9" s="28"/>
      <c r="M9" s="28"/>
      <c r="N9" s="28"/>
      <c r="O9" s="28"/>
      <c r="P9" s="28"/>
      <c r="Q9" s="28"/>
      <c r="R9" s="28"/>
      <c r="S9" s="28"/>
      <c r="T9" s="28"/>
      <c r="U9" s="132"/>
    </row>
    <row r="10" spans="1:21" s="126" customFormat="1" ht="16.5" x14ac:dyDescent="0.3">
      <c r="A10" s="126">
        <v>9</v>
      </c>
      <c r="B10" s="199" t="s">
        <v>216</v>
      </c>
      <c r="C10" s="126" t="str">
        <f>CONCATENATE(B10,A10)</f>
        <v>009</v>
      </c>
      <c r="D10" s="126" t="s">
        <v>88</v>
      </c>
      <c r="E10" t="s">
        <v>391</v>
      </c>
      <c r="G10" s="133" t="s">
        <v>101</v>
      </c>
      <c r="H10" s="127"/>
      <c r="I10" s="248">
        <v>83600</v>
      </c>
      <c r="J10" s="242">
        <v>80000</v>
      </c>
      <c r="K10" s="242">
        <v>80000</v>
      </c>
      <c r="L10" s="242">
        <v>80000</v>
      </c>
      <c r="M10" s="242">
        <v>80000</v>
      </c>
      <c r="N10" s="242">
        <v>80000</v>
      </c>
      <c r="O10" s="242">
        <v>80000</v>
      </c>
      <c r="P10" s="242">
        <v>80000</v>
      </c>
      <c r="Q10" s="242">
        <v>80000</v>
      </c>
      <c r="R10" s="242">
        <v>80000</v>
      </c>
      <c r="S10" s="242">
        <v>80000</v>
      </c>
      <c r="T10" s="242">
        <v>80000</v>
      </c>
      <c r="U10" s="235">
        <f>SUM(I10:T10)</f>
        <v>963600</v>
      </c>
    </row>
    <row r="11" spans="1:21" s="126" customFormat="1" ht="16.5" x14ac:dyDescent="0.3">
      <c r="A11" s="126">
        <v>9</v>
      </c>
      <c r="B11" s="199" t="s">
        <v>216</v>
      </c>
      <c r="C11" s="126" t="str">
        <f t="shared" ref="C11:C63" si="0">CONCATENATE(B11,A11)</f>
        <v>009</v>
      </c>
      <c r="D11" s="126" t="s">
        <v>88</v>
      </c>
      <c r="E11" t="s">
        <v>395</v>
      </c>
      <c r="G11" s="133" t="s">
        <v>53</v>
      </c>
      <c r="H11" s="127"/>
      <c r="I11" s="28"/>
      <c r="J11" s="28"/>
      <c r="K11" s="28"/>
      <c r="L11" s="28"/>
      <c r="M11" s="28"/>
      <c r="N11" s="28"/>
      <c r="O11" s="28"/>
      <c r="P11" s="28"/>
      <c r="Q11" s="28"/>
      <c r="R11" s="28"/>
      <c r="S11" s="28"/>
      <c r="T11" s="28"/>
      <c r="U11" s="235">
        <f t="shared" ref="U11:U14" si="1">SUM(I11:T11)</f>
        <v>0</v>
      </c>
    </row>
    <row r="12" spans="1:21" s="126" customFormat="1" ht="16.5" x14ac:dyDescent="0.3">
      <c r="A12" s="126">
        <v>9</v>
      </c>
      <c r="B12" s="199" t="s">
        <v>216</v>
      </c>
      <c r="C12" s="126" t="str">
        <f t="shared" si="0"/>
        <v>009</v>
      </c>
      <c r="D12" s="126" t="s">
        <v>88</v>
      </c>
      <c r="E12" t="s">
        <v>393</v>
      </c>
      <c r="G12" s="133" t="s">
        <v>115</v>
      </c>
      <c r="H12" s="127"/>
      <c r="I12" s="28"/>
      <c r="J12" s="28"/>
      <c r="K12" s="28"/>
      <c r="L12" s="28"/>
      <c r="M12" s="28"/>
      <c r="N12" s="28"/>
      <c r="O12" s="28"/>
      <c r="P12" s="28"/>
      <c r="Q12" s="28"/>
      <c r="R12" s="28"/>
      <c r="S12" s="28"/>
      <c r="T12" s="28"/>
      <c r="U12" s="235">
        <f t="shared" si="1"/>
        <v>0</v>
      </c>
    </row>
    <row r="13" spans="1:21" s="129" customFormat="1" ht="16.5" x14ac:dyDescent="0.3">
      <c r="A13" s="126">
        <v>9</v>
      </c>
      <c r="B13" s="199" t="s">
        <v>216</v>
      </c>
      <c r="C13" s="126" t="str">
        <f t="shared" si="0"/>
        <v>009</v>
      </c>
      <c r="D13" s="126" t="s">
        <v>88</v>
      </c>
      <c r="E13" t="s">
        <v>397</v>
      </c>
      <c r="G13" s="133" t="s">
        <v>403</v>
      </c>
      <c r="H13" s="131"/>
      <c r="I13" s="28"/>
      <c r="J13" s="28"/>
      <c r="K13" s="28"/>
      <c r="L13" s="28"/>
      <c r="M13" s="28"/>
      <c r="N13" s="28"/>
      <c r="O13" s="28"/>
      <c r="P13" s="28"/>
      <c r="Q13" s="28"/>
      <c r="R13" s="28"/>
      <c r="S13" s="28"/>
      <c r="T13" s="28"/>
      <c r="U13" s="235">
        <f t="shared" si="1"/>
        <v>0</v>
      </c>
    </row>
    <row r="14" spans="1:21" s="129" customFormat="1" ht="16.5" x14ac:dyDescent="0.3">
      <c r="A14" s="126">
        <v>9</v>
      </c>
      <c r="B14" s="199" t="s">
        <v>216</v>
      </c>
      <c r="C14" s="126" t="str">
        <f t="shared" si="0"/>
        <v>009</v>
      </c>
      <c r="D14" s="126" t="s">
        <v>88</v>
      </c>
      <c r="E14" t="s">
        <v>401</v>
      </c>
      <c r="G14" s="133" t="s">
        <v>116</v>
      </c>
      <c r="H14" s="131"/>
      <c r="I14" s="131"/>
      <c r="J14" s="131"/>
      <c r="K14" s="131"/>
      <c r="L14" s="131"/>
      <c r="M14" s="131"/>
      <c r="N14" s="131"/>
      <c r="O14" s="131"/>
      <c r="P14" s="131"/>
      <c r="Q14" s="131"/>
      <c r="R14" s="131"/>
      <c r="S14" s="131"/>
      <c r="T14" s="131"/>
      <c r="U14" s="235">
        <f t="shared" si="1"/>
        <v>0</v>
      </c>
    </row>
    <row r="15" spans="1:21" s="129" customFormat="1" ht="15.75" thickBot="1" x14ac:dyDescent="0.35">
      <c r="A15" s="126"/>
      <c r="B15" s="126"/>
      <c r="C15" s="126" t="str">
        <f t="shared" si="0"/>
        <v/>
      </c>
      <c r="D15" s="126"/>
      <c r="E15" s="126"/>
      <c r="G15" s="134" t="s">
        <v>112</v>
      </c>
      <c r="H15" s="135"/>
      <c r="I15" s="136">
        <f>SUM(I10:I14)</f>
        <v>83600</v>
      </c>
      <c r="J15" s="136">
        <f t="shared" ref="J15:T15" si="2">SUM(J10:J14)</f>
        <v>80000</v>
      </c>
      <c r="K15" s="136">
        <f t="shared" si="2"/>
        <v>80000</v>
      </c>
      <c r="L15" s="136">
        <f t="shared" si="2"/>
        <v>80000</v>
      </c>
      <c r="M15" s="136">
        <f t="shared" si="2"/>
        <v>80000</v>
      </c>
      <c r="N15" s="136">
        <f t="shared" si="2"/>
        <v>80000</v>
      </c>
      <c r="O15" s="136">
        <f t="shared" si="2"/>
        <v>80000</v>
      </c>
      <c r="P15" s="136">
        <f t="shared" si="2"/>
        <v>80000</v>
      </c>
      <c r="Q15" s="136">
        <f t="shared" si="2"/>
        <v>80000</v>
      </c>
      <c r="R15" s="136">
        <f t="shared" si="2"/>
        <v>80000</v>
      </c>
      <c r="S15" s="136">
        <f t="shared" si="2"/>
        <v>80000</v>
      </c>
      <c r="T15" s="136">
        <f t="shared" si="2"/>
        <v>80000</v>
      </c>
      <c r="U15" s="33">
        <f>SUM(U10:U14)</f>
        <v>963600</v>
      </c>
    </row>
    <row r="16" spans="1:21" s="129" customFormat="1" ht="15.75" thickTop="1" x14ac:dyDescent="0.3">
      <c r="A16" s="126"/>
      <c r="B16" s="126"/>
      <c r="C16" s="126" t="str">
        <f t="shared" si="0"/>
        <v/>
      </c>
      <c r="D16" s="126"/>
      <c r="E16" s="126"/>
      <c r="G16" s="130"/>
      <c r="H16" s="131"/>
      <c r="I16" s="131"/>
      <c r="J16" s="131"/>
      <c r="K16" s="131"/>
      <c r="L16" s="131"/>
      <c r="M16" s="131"/>
      <c r="N16" s="131"/>
      <c r="O16" s="131"/>
      <c r="P16" s="131"/>
      <c r="Q16" s="131"/>
      <c r="R16" s="131"/>
      <c r="S16" s="131"/>
      <c r="T16" s="131"/>
      <c r="U16" s="132"/>
    </row>
    <row r="17" spans="1:21" x14ac:dyDescent="0.3">
      <c r="A17" s="126"/>
      <c r="B17" s="126"/>
      <c r="C17" s="126" t="str">
        <f t="shared" si="0"/>
        <v/>
      </c>
      <c r="D17" s="126"/>
      <c r="E17" s="126"/>
      <c r="G17" s="26" t="s">
        <v>36</v>
      </c>
      <c r="H17" s="24"/>
      <c r="I17" s="24"/>
      <c r="J17" s="24"/>
      <c r="K17" s="24"/>
      <c r="L17" s="24"/>
      <c r="M17" s="24"/>
      <c r="N17" s="24"/>
      <c r="O17" s="24"/>
      <c r="P17" s="24"/>
      <c r="Q17" s="24"/>
      <c r="R17" s="24"/>
      <c r="S17" s="24"/>
      <c r="T17" s="24"/>
      <c r="U17" s="25"/>
    </row>
    <row r="18" spans="1:21" ht="16.5" x14ac:dyDescent="0.3">
      <c r="A18" s="126">
        <v>2</v>
      </c>
      <c r="B18" s="199" t="s">
        <v>212</v>
      </c>
      <c r="C18" s="126" t="str">
        <f t="shared" si="0"/>
        <v>012</v>
      </c>
      <c r="D18" s="126" t="s">
        <v>233</v>
      </c>
      <c r="E18" t="s">
        <v>279</v>
      </c>
      <c r="G18" s="27" t="s">
        <v>595</v>
      </c>
      <c r="H18" s="24"/>
      <c r="I18" s="28">
        <f>200000/12</f>
        <v>16666.666666666668</v>
      </c>
      <c r="J18" s="28">
        <f t="shared" ref="J18:T18" si="3">200000/12</f>
        <v>16666.666666666668</v>
      </c>
      <c r="K18" s="28">
        <f t="shared" si="3"/>
        <v>16666.666666666668</v>
      </c>
      <c r="L18" s="28">
        <f t="shared" si="3"/>
        <v>16666.666666666668</v>
      </c>
      <c r="M18" s="28">
        <f t="shared" si="3"/>
        <v>16666.666666666668</v>
      </c>
      <c r="N18" s="28">
        <f t="shared" si="3"/>
        <v>16666.666666666668</v>
      </c>
      <c r="O18" s="28">
        <f t="shared" si="3"/>
        <v>16666.666666666668</v>
      </c>
      <c r="P18" s="28">
        <f t="shared" si="3"/>
        <v>16666.666666666668</v>
      </c>
      <c r="Q18" s="28">
        <f t="shared" si="3"/>
        <v>16666.666666666668</v>
      </c>
      <c r="R18" s="28">
        <f t="shared" si="3"/>
        <v>16666.666666666668</v>
      </c>
      <c r="S18" s="28">
        <f t="shared" si="3"/>
        <v>16666.666666666668</v>
      </c>
      <c r="T18" s="28">
        <f t="shared" si="3"/>
        <v>16666.666666666668</v>
      </c>
      <c r="U18" s="29">
        <f>SUM(I18:T18)</f>
        <v>199999.99999999997</v>
      </c>
    </row>
    <row r="19" spans="1:21" ht="16.5" x14ac:dyDescent="0.3">
      <c r="A19" s="126">
        <v>2</v>
      </c>
      <c r="B19" s="199" t="s">
        <v>218</v>
      </c>
      <c r="C19" s="126" t="str">
        <f t="shared" si="0"/>
        <v>032</v>
      </c>
      <c r="D19" s="126" t="s">
        <v>233</v>
      </c>
      <c r="E19" t="s">
        <v>333</v>
      </c>
      <c r="G19" s="27" t="s">
        <v>592</v>
      </c>
      <c r="H19" s="24"/>
      <c r="I19" s="28">
        <v>8000</v>
      </c>
      <c r="J19" s="28">
        <v>8000</v>
      </c>
      <c r="K19" s="28">
        <v>8000</v>
      </c>
      <c r="L19" s="28">
        <v>8000</v>
      </c>
      <c r="M19" s="28">
        <v>8000</v>
      </c>
      <c r="N19" s="28">
        <v>8000</v>
      </c>
      <c r="O19" s="28">
        <v>8000</v>
      </c>
      <c r="P19" s="28">
        <v>8000</v>
      </c>
      <c r="Q19" s="28">
        <v>8000</v>
      </c>
      <c r="R19" s="28">
        <v>8000</v>
      </c>
      <c r="S19" s="28">
        <v>8000</v>
      </c>
      <c r="T19" s="28">
        <v>8000</v>
      </c>
      <c r="U19" s="29">
        <f>SUM(I19:T19)</f>
        <v>96000</v>
      </c>
    </row>
    <row r="20" spans="1:21" ht="16.5" x14ac:dyDescent="0.3">
      <c r="A20" s="126">
        <v>2</v>
      </c>
      <c r="B20" s="199" t="s">
        <v>222</v>
      </c>
      <c r="C20" s="126" t="str">
        <f t="shared" si="0"/>
        <v>072</v>
      </c>
      <c r="D20" s="126" t="s">
        <v>233</v>
      </c>
      <c r="E20" t="s">
        <v>365</v>
      </c>
      <c r="G20" s="27" t="s">
        <v>593</v>
      </c>
      <c r="H20" s="24"/>
      <c r="I20" s="28">
        <v>2000</v>
      </c>
      <c r="J20" s="28">
        <v>2000</v>
      </c>
      <c r="K20" s="28">
        <v>2000</v>
      </c>
      <c r="L20" s="28">
        <v>2000</v>
      </c>
      <c r="M20" s="28">
        <v>2000</v>
      </c>
      <c r="N20" s="28">
        <v>2000</v>
      </c>
      <c r="O20" s="28">
        <v>2000</v>
      </c>
      <c r="P20" s="28">
        <v>2000</v>
      </c>
      <c r="Q20" s="28">
        <v>2000</v>
      </c>
      <c r="R20" s="28">
        <v>2000</v>
      </c>
      <c r="S20" s="28">
        <v>2000</v>
      </c>
      <c r="T20" s="28">
        <v>2000</v>
      </c>
      <c r="U20" s="29">
        <f>SUM(I20:T20)</f>
        <v>24000</v>
      </c>
    </row>
    <row r="21" spans="1:21" ht="16.5" x14ac:dyDescent="0.3">
      <c r="A21" s="126">
        <v>2</v>
      </c>
      <c r="B21" s="199" t="s">
        <v>217</v>
      </c>
      <c r="C21" s="126" t="str">
        <f t="shared" si="0"/>
        <v>022</v>
      </c>
      <c r="D21" s="126"/>
      <c r="E21" t="s">
        <v>610</v>
      </c>
      <c r="G21" s="27" t="s">
        <v>594</v>
      </c>
      <c r="H21" s="24"/>
      <c r="I21" s="28">
        <f>50000/12</f>
        <v>4166.666666666667</v>
      </c>
      <c r="J21" s="28">
        <f t="shared" ref="J21:T21" si="4">50000/12</f>
        <v>4166.666666666667</v>
      </c>
      <c r="K21" s="28">
        <f t="shared" si="4"/>
        <v>4166.666666666667</v>
      </c>
      <c r="L21" s="28">
        <f t="shared" si="4"/>
        <v>4166.666666666667</v>
      </c>
      <c r="M21" s="28">
        <f t="shared" si="4"/>
        <v>4166.666666666667</v>
      </c>
      <c r="N21" s="28">
        <f t="shared" si="4"/>
        <v>4166.666666666667</v>
      </c>
      <c r="O21" s="28">
        <f t="shared" si="4"/>
        <v>4166.666666666667</v>
      </c>
      <c r="P21" s="28">
        <f t="shared" si="4"/>
        <v>4166.666666666667</v>
      </c>
      <c r="Q21" s="28">
        <f t="shared" si="4"/>
        <v>4166.666666666667</v>
      </c>
      <c r="R21" s="28">
        <f t="shared" si="4"/>
        <v>4166.666666666667</v>
      </c>
      <c r="S21" s="28">
        <f t="shared" si="4"/>
        <v>4166.666666666667</v>
      </c>
      <c r="T21" s="28">
        <f t="shared" si="4"/>
        <v>4166.666666666667</v>
      </c>
      <c r="U21" s="29">
        <f t="shared" ref="U21:U24" si="5">SUM(I21:T21)</f>
        <v>49999.999999999993</v>
      </c>
    </row>
    <row r="22" spans="1:21" ht="16.5" x14ac:dyDescent="0.3">
      <c r="A22" s="126">
        <v>2</v>
      </c>
      <c r="B22" s="199" t="s">
        <v>218</v>
      </c>
      <c r="C22" s="126" t="str">
        <f t="shared" si="0"/>
        <v>032</v>
      </c>
      <c r="D22" s="126"/>
      <c r="E22" t="s">
        <v>333</v>
      </c>
      <c r="G22" s="27" t="s">
        <v>596</v>
      </c>
      <c r="H22" s="24"/>
      <c r="I22" s="28">
        <v>2000</v>
      </c>
      <c r="J22" s="28">
        <v>2000</v>
      </c>
      <c r="K22" s="28">
        <v>2000</v>
      </c>
      <c r="L22" s="28">
        <v>2000</v>
      </c>
      <c r="M22" s="28">
        <v>2000</v>
      </c>
      <c r="N22" s="28">
        <v>2000</v>
      </c>
      <c r="O22" s="28">
        <v>2000</v>
      </c>
      <c r="P22" s="28">
        <v>2000</v>
      </c>
      <c r="Q22" s="28">
        <v>2000</v>
      </c>
      <c r="R22" s="28">
        <v>2000</v>
      </c>
      <c r="S22" s="28">
        <v>2000</v>
      </c>
      <c r="T22" s="28">
        <v>2000</v>
      </c>
      <c r="U22" s="29">
        <f t="shared" si="5"/>
        <v>24000</v>
      </c>
    </row>
    <row r="23" spans="1:21" ht="16.5" x14ac:dyDescent="0.3">
      <c r="A23" s="126"/>
      <c r="B23" s="199"/>
      <c r="C23" s="126"/>
      <c r="D23" s="126"/>
      <c r="E23"/>
      <c r="G23" s="27" t="s">
        <v>616</v>
      </c>
      <c r="H23" s="24"/>
      <c r="I23" s="28"/>
      <c r="J23" s="28"/>
      <c r="K23" s="28">
        <v>10000</v>
      </c>
      <c r="L23" s="28">
        <v>10000</v>
      </c>
      <c r="M23" s="28">
        <v>10000</v>
      </c>
      <c r="N23" s="28">
        <v>10000</v>
      </c>
      <c r="O23" s="28">
        <v>10000</v>
      </c>
      <c r="P23" s="28">
        <v>10000</v>
      </c>
      <c r="Q23" s="28">
        <v>10000</v>
      </c>
      <c r="R23" s="28">
        <v>10000</v>
      </c>
      <c r="S23" s="28">
        <v>10000</v>
      </c>
      <c r="T23" s="28">
        <v>10000</v>
      </c>
      <c r="U23" s="29">
        <f t="shared" si="5"/>
        <v>100000</v>
      </c>
    </row>
    <row r="24" spans="1:21" ht="16.5" x14ac:dyDescent="0.3">
      <c r="A24" s="126"/>
      <c r="B24" s="199"/>
      <c r="C24" s="126"/>
      <c r="D24" s="126"/>
      <c r="E24"/>
      <c r="G24" s="27" t="s">
        <v>618</v>
      </c>
      <c r="H24" s="24"/>
      <c r="I24" s="28"/>
      <c r="J24" s="28"/>
      <c r="K24" s="28">
        <f>(3*10000)*50%</f>
        <v>15000</v>
      </c>
      <c r="L24" s="28">
        <f t="shared" ref="L24:T24" si="6">(3*10000)*50%</f>
        <v>15000</v>
      </c>
      <c r="M24" s="28">
        <f t="shared" si="6"/>
        <v>15000</v>
      </c>
      <c r="N24" s="28">
        <f t="shared" si="6"/>
        <v>15000</v>
      </c>
      <c r="O24" s="28">
        <f t="shared" si="6"/>
        <v>15000</v>
      </c>
      <c r="P24" s="28">
        <f t="shared" si="6"/>
        <v>15000</v>
      </c>
      <c r="Q24" s="28">
        <f t="shared" si="6"/>
        <v>15000</v>
      </c>
      <c r="R24" s="28">
        <f t="shared" si="6"/>
        <v>15000</v>
      </c>
      <c r="S24" s="28">
        <f t="shared" si="6"/>
        <v>15000</v>
      </c>
      <c r="T24" s="28">
        <f t="shared" si="6"/>
        <v>15000</v>
      </c>
      <c r="U24" s="29">
        <f t="shared" si="5"/>
        <v>150000</v>
      </c>
    </row>
    <row r="25" spans="1:21" x14ac:dyDescent="0.3">
      <c r="A25" s="126">
        <v>4</v>
      </c>
      <c r="B25" s="199" t="s">
        <v>212</v>
      </c>
      <c r="C25" s="126" t="str">
        <f t="shared" si="0"/>
        <v>014</v>
      </c>
      <c r="D25" s="126" t="s">
        <v>233</v>
      </c>
      <c r="E25" s="126" t="s">
        <v>609</v>
      </c>
      <c r="G25" s="27" t="s">
        <v>607</v>
      </c>
      <c r="H25" s="24"/>
      <c r="I25" s="28">
        <v>1500</v>
      </c>
      <c r="J25" s="28">
        <v>1500</v>
      </c>
      <c r="K25" s="28">
        <v>1500</v>
      </c>
      <c r="L25" s="28">
        <v>1500</v>
      </c>
      <c r="M25" s="28">
        <v>1500</v>
      </c>
      <c r="N25" s="28">
        <v>1500</v>
      </c>
      <c r="O25" s="28">
        <v>1500</v>
      </c>
      <c r="P25" s="28">
        <v>1500</v>
      </c>
      <c r="Q25" s="28">
        <v>1500</v>
      </c>
      <c r="R25" s="28">
        <v>1500</v>
      </c>
      <c r="S25" s="28">
        <v>1500</v>
      </c>
      <c r="T25" s="28">
        <v>1500</v>
      </c>
      <c r="U25" s="29">
        <f>SUM(I25:T25)</f>
        <v>18000</v>
      </c>
    </row>
    <row r="26" spans="1:21" ht="15.75" thickBot="1" x14ac:dyDescent="0.35">
      <c r="A26" s="126"/>
      <c r="B26" s="126"/>
      <c r="C26" s="126" t="str">
        <f t="shared" si="0"/>
        <v/>
      </c>
      <c r="D26" s="126"/>
      <c r="E26" s="126"/>
      <c r="G26" s="30" t="s">
        <v>1</v>
      </c>
      <c r="H26" s="31"/>
      <c r="I26" s="32">
        <f>SUM(I18:I25)</f>
        <v>34333.333333333336</v>
      </c>
      <c r="J26" s="32">
        <f t="shared" ref="J26:T26" si="7">SUM(J18:J25)</f>
        <v>34333.333333333336</v>
      </c>
      <c r="K26" s="32">
        <f t="shared" si="7"/>
        <v>59333.333333333336</v>
      </c>
      <c r="L26" s="32">
        <f t="shared" si="7"/>
        <v>59333.333333333336</v>
      </c>
      <c r="M26" s="32">
        <f t="shared" si="7"/>
        <v>59333.333333333336</v>
      </c>
      <c r="N26" s="32">
        <f t="shared" si="7"/>
        <v>59333.333333333336</v>
      </c>
      <c r="O26" s="32">
        <f t="shared" si="7"/>
        <v>59333.333333333336</v>
      </c>
      <c r="P26" s="32">
        <f t="shared" si="7"/>
        <v>59333.333333333336</v>
      </c>
      <c r="Q26" s="32">
        <f t="shared" si="7"/>
        <v>59333.333333333336</v>
      </c>
      <c r="R26" s="32">
        <f t="shared" si="7"/>
        <v>59333.333333333336</v>
      </c>
      <c r="S26" s="32">
        <f t="shared" si="7"/>
        <v>59333.333333333336</v>
      </c>
      <c r="T26" s="32">
        <f t="shared" si="7"/>
        <v>59333.333333333336</v>
      </c>
      <c r="U26" s="33">
        <f>SUM(U18:U25)</f>
        <v>662000</v>
      </c>
    </row>
    <row r="27" spans="1:21" ht="15.75" thickTop="1" x14ac:dyDescent="0.3">
      <c r="A27" s="126"/>
      <c r="B27" s="126"/>
      <c r="C27" s="126" t="str">
        <f t="shared" si="0"/>
        <v/>
      </c>
      <c r="D27" s="126"/>
      <c r="E27" s="126"/>
      <c r="G27" s="26" t="s">
        <v>31</v>
      </c>
      <c r="H27" s="24"/>
      <c r="I27" s="24"/>
      <c r="J27" s="24"/>
      <c r="K27" s="24"/>
      <c r="L27" s="24"/>
      <c r="M27" s="24"/>
      <c r="N27" s="24"/>
      <c r="O27" s="24"/>
      <c r="P27" s="24"/>
      <c r="Q27" s="24"/>
      <c r="R27" s="24"/>
      <c r="S27" s="24"/>
      <c r="T27" s="24"/>
      <c r="U27" s="34"/>
    </row>
    <row r="28" spans="1:21" ht="16.5" x14ac:dyDescent="0.3">
      <c r="A28" s="126">
        <v>6</v>
      </c>
      <c r="B28" s="199" t="s">
        <v>222</v>
      </c>
      <c r="C28" s="126" t="str">
        <f t="shared" si="0"/>
        <v>076</v>
      </c>
      <c r="D28" s="126" t="s">
        <v>31</v>
      </c>
      <c r="E28" t="s">
        <v>369</v>
      </c>
      <c r="G28" s="27" t="s">
        <v>40</v>
      </c>
      <c r="H28" s="24"/>
      <c r="I28" s="28"/>
      <c r="J28" s="28"/>
      <c r="K28" s="28"/>
      <c r="L28" s="28"/>
      <c r="M28" s="28"/>
      <c r="N28" s="28">
        <v>7500</v>
      </c>
      <c r="O28" s="28"/>
      <c r="P28" s="28"/>
      <c r="Q28" s="28"/>
      <c r="R28" s="28"/>
      <c r="S28" s="28">
        <v>7500</v>
      </c>
      <c r="T28" s="28"/>
      <c r="U28" s="29">
        <f>SUM(I28:T28)</f>
        <v>15000</v>
      </c>
    </row>
    <row r="29" spans="1:21" ht="16.5" x14ac:dyDescent="0.3">
      <c r="A29" s="126">
        <v>6</v>
      </c>
      <c r="B29" s="199" t="s">
        <v>212</v>
      </c>
      <c r="C29" s="126" t="str">
        <f t="shared" si="0"/>
        <v>016</v>
      </c>
      <c r="D29" s="126" t="s">
        <v>31</v>
      </c>
      <c r="E29" t="s">
        <v>299</v>
      </c>
      <c r="G29" s="27" t="s">
        <v>48</v>
      </c>
      <c r="H29" s="24"/>
      <c r="I29" s="28"/>
      <c r="J29" s="28"/>
      <c r="K29" s="28">
        <v>500</v>
      </c>
      <c r="L29" s="28"/>
      <c r="M29" s="28"/>
      <c r="N29" s="28">
        <v>500</v>
      </c>
      <c r="O29" s="28"/>
      <c r="P29" s="28"/>
      <c r="Q29" s="28"/>
      <c r="R29" s="28">
        <v>500</v>
      </c>
      <c r="S29" s="28"/>
      <c r="T29" s="28">
        <v>500</v>
      </c>
      <c r="U29" s="29">
        <f>SUM(I29:T29)</f>
        <v>2000</v>
      </c>
    </row>
    <row r="30" spans="1:21" ht="16.5" x14ac:dyDescent="0.3">
      <c r="A30" s="126">
        <v>6</v>
      </c>
      <c r="B30" s="199" t="s">
        <v>212</v>
      </c>
      <c r="C30" s="126" t="str">
        <f t="shared" si="0"/>
        <v>016</v>
      </c>
      <c r="D30" s="126" t="s">
        <v>31</v>
      </c>
      <c r="E30" t="s">
        <v>299</v>
      </c>
      <c r="G30" s="27" t="s">
        <v>49</v>
      </c>
      <c r="H30" s="24"/>
      <c r="I30" s="28"/>
      <c r="J30" s="28"/>
      <c r="K30" s="28"/>
      <c r="L30" s="28"/>
      <c r="M30" s="28"/>
      <c r="N30" s="28"/>
      <c r="O30" s="28"/>
      <c r="P30" s="28"/>
      <c r="Q30" s="28"/>
      <c r="R30" s="28"/>
      <c r="S30" s="28"/>
      <c r="T30" s="28"/>
      <c r="U30" s="29">
        <f>SUM(I30:T30)</f>
        <v>0</v>
      </c>
    </row>
    <row r="31" spans="1:21" ht="16.5" x14ac:dyDescent="0.3">
      <c r="A31" s="126">
        <v>6</v>
      </c>
      <c r="B31" s="199" t="s">
        <v>212</v>
      </c>
      <c r="C31" s="126" t="str">
        <f t="shared" si="0"/>
        <v>016</v>
      </c>
      <c r="D31" s="126" t="s">
        <v>31</v>
      </c>
      <c r="E31" t="s">
        <v>299</v>
      </c>
      <c r="F31" s="35">
        <v>0.1</v>
      </c>
      <c r="G31" s="36" t="str">
        <f>"Contigency"&amp;" "&amp;"at"&amp;" "&amp;(F31*100)&amp;"%"</f>
        <v>Contigency at 10%</v>
      </c>
      <c r="H31" s="37"/>
      <c r="I31" s="38">
        <f>SUM(I28:I30)*$F$31</f>
        <v>0</v>
      </c>
      <c r="J31" s="38">
        <f t="shared" ref="J31:T31" si="8">SUM(J28:J30)*$F$31</f>
        <v>0</v>
      </c>
      <c r="K31" s="38">
        <f t="shared" si="8"/>
        <v>50</v>
      </c>
      <c r="L31" s="38">
        <f t="shared" si="8"/>
        <v>0</v>
      </c>
      <c r="M31" s="38">
        <f t="shared" si="8"/>
        <v>0</v>
      </c>
      <c r="N31" s="38">
        <f t="shared" si="8"/>
        <v>800</v>
      </c>
      <c r="O31" s="38">
        <f t="shared" si="8"/>
        <v>0</v>
      </c>
      <c r="P31" s="38">
        <f t="shared" si="8"/>
        <v>0</v>
      </c>
      <c r="Q31" s="38">
        <f t="shared" si="8"/>
        <v>0</v>
      </c>
      <c r="R31" s="38">
        <f t="shared" si="8"/>
        <v>50</v>
      </c>
      <c r="S31" s="38">
        <f t="shared" si="8"/>
        <v>750</v>
      </c>
      <c r="T31" s="38">
        <f t="shared" si="8"/>
        <v>50</v>
      </c>
      <c r="U31" s="39">
        <f>SUM(I31:T31)</f>
        <v>1700</v>
      </c>
    </row>
    <row r="32" spans="1:21" ht="15.75" thickBot="1" x14ac:dyDescent="0.35">
      <c r="A32" s="126"/>
      <c r="B32" s="126"/>
      <c r="C32" s="126" t="str">
        <f t="shared" si="0"/>
        <v/>
      </c>
      <c r="D32" s="126"/>
      <c r="E32" s="126"/>
      <c r="G32" s="30" t="s">
        <v>1</v>
      </c>
      <c r="H32" s="31"/>
      <c r="I32" s="32">
        <f>SUM(I28:I31)</f>
        <v>0</v>
      </c>
      <c r="J32" s="32">
        <f t="shared" ref="J32:T32" si="9">SUM(J28:J31)</f>
        <v>0</v>
      </c>
      <c r="K32" s="32">
        <f t="shared" si="9"/>
        <v>550</v>
      </c>
      <c r="L32" s="32">
        <f t="shared" si="9"/>
        <v>0</v>
      </c>
      <c r="M32" s="32">
        <f t="shared" si="9"/>
        <v>0</v>
      </c>
      <c r="N32" s="32">
        <f t="shared" si="9"/>
        <v>8800</v>
      </c>
      <c r="O32" s="32">
        <f t="shared" si="9"/>
        <v>0</v>
      </c>
      <c r="P32" s="32">
        <f t="shared" si="9"/>
        <v>0</v>
      </c>
      <c r="Q32" s="32">
        <f t="shared" si="9"/>
        <v>0</v>
      </c>
      <c r="R32" s="32">
        <f t="shared" si="9"/>
        <v>550</v>
      </c>
      <c r="S32" s="32">
        <f t="shared" si="9"/>
        <v>8250</v>
      </c>
      <c r="T32" s="32">
        <f t="shared" si="9"/>
        <v>550</v>
      </c>
      <c r="U32" s="33">
        <f>SUM(U28:U31)</f>
        <v>18700</v>
      </c>
    </row>
    <row r="33" spans="1:21" ht="15.75" thickTop="1" x14ac:dyDescent="0.3">
      <c r="A33" s="126"/>
      <c r="B33" s="126"/>
      <c r="C33" s="126" t="str">
        <f t="shared" si="0"/>
        <v/>
      </c>
      <c r="D33" s="126"/>
      <c r="E33" s="126"/>
      <c r="G33" s="26" t="s">
        <v>204</v>
      </c>
      <c r="H33" s="24"/>
      <c r="I33" s="24"/>
      <c r="J33" s="24"/>
      <c r="K33" s="24"/>
      <c r="L33" s="24"/>
      <c r="M33" s="24"/>
      <c r="N33" s="24"/>
      <c r="O33" s="24"/>
      <c r="P33" s="24"/>
      <c r="Q33" s="24"/>
      <c r="R33" s="24"/>
      <c r="S33" s="24"/>
      <c r="T33" s="24"/>
      <c r="U33" s="34"/>
    </row>
    <row r="34" spans="1:21" ht="16.5" x14ac:dyDescent="0.3">
      <c r="A34" s="126">
        <v>4</v>
      </c>
      <c r="B34" s="199" t="s">
        <v>212</v>
      </c>
      <c r="C34" s="126" t="str">
        <f t="shared" si="0"/>
        <v>014</v>
      </c>
      <c r="D34" s="126" t="s">
        <v>244</v>
      </c>
      <c r="E34" t="s">
        <v>295</v>
      </c>
      <c r="G34" s="27" t="s">
        <v>41</v>
      </c>
      <c r="H34" s="24"/>
      <c r="I34" s="28">
        <v>600</v>
      </c>
      <c r="J34" s="28">
        <v>600</v>
      </c>
      <c r="K34" s="28">
        <v>600</v>
      </c>
      <c r="L34" s="28">
        <v>600</v>
      </c>
      <c r="M34" s="28">
        <v>600</v>
      </c>
      <c r="N34" s="28">
        <v>600</v>
      </c>
      <c r="O34" s="28">
        <v>600</v>
      </c>
      <c r="P34" s="28">
        <v>600</v>
      </c>
      <c r="Q34" s="28">
        <v>600</v>
      </c>
      <c r="R34" s="28">
        <v>600</v>
      </c>
      <c r="S34" s="28">
        <v>600</v>
      </c>
      <c r="T34" s="28">
        <v>600</v>
      </c>
      <c r="U34" s="29">
        <f>SUM(I34:T34)</f>
        <v>7200</v>
      </c>
    </row>
    <row r="35" spans="1:21" ht="16.5" x14ac:dyDescent="0.3">
      <c r="A35" s="126">
        <v>3</v>
      </c>
      <c r="B35" s="199" t="s">
        <v>212</v>
      </c>
      <c r="C35" s="126" t="str">
        <f t="shared" si="0"/>
        <v>013</v>
      </c>
      <c r="D35" s="126" t="s">
        <v>238</v>
      </c>
      <c r="E35" t="s">
        <v>285</v>
      </c>
      <c r="G35" s="27" t="s">
        <v>202</v>
      </c>
      <c r="H35" s="24"/>
      <c r="I35" s="28"/>
      <c r="J35" s="28"/>
      <c r="K35" s="28"/>
      <c r="L35" s="28"/>
      <c r="M35" s="28"/>
      <c r="N35" s="28"/>
      <c r="O35" s="28"/>
      <c r="P35" s="28"/>
      <c r="Q35" s="28"/>
      <c r="R35" s="28"/>
      <c r="S35" s="28"/>
      <c r="T35" s="28"/>
      <c r="U35" s="29">
        <f t="shared" ref="U35:U40" si="10">SUM(I35:T35)</f>
        <v>0</v>
      </c>
    </row>
    <row r="36" spans="1:21" ht="16.5" x14ac:dyDescent="0.3">
      <c r="A36" s="126">
        <v>3</v>
      </c>
      <c r="B36" s="199" t="s">
        <v>222</v>
      </c>
      <c r="C36" s="126" t="str">
        <f t="shared" si="0"/>
        <v>073</v>
      </c>
      <c r="D36" s="126" t="s">
        <v>238</v>
      </c>
      <c r="E36" t="s">
        <v>367</v>
      </c>
      <c r="G36" s="27" t="s">
        <v>201</v>
      </c>
      <c r="H36" s="24"/>
      <c r="I36" s="28">
        <v>125</v>
      </c>
      <c r="J36" s="28">
        <v>125</v>
      </c>
      <c r="K36" s="28">
        <v>125</v>
      </c>
      <c r="L36" s="28">
        <v>125</v>
      </c>
      <c r="M36" s="28">
        <v>125</v>
      </c>
      <c r="N36" s="28">
        <v>125</v>
      </c>
      <c r="O36" s="28">
        <v>125</v>
      </c>
      <c r="P36" s="28">
        <v>125</v>
      </c>
      <c r="Q36" s="28">
        <v>125</v>
      </c>
      <c r="R36" s="28">
        <v>125</v>
      </c>
      <c r="S36" s="28">
        <v>125</v>
      </c>
      <c r="T36" s="28">
        <v>125</v>
      </c>
      <c r="U36" s="29">
        <f t="shared" si="10"/>
        <v>1500</v>
      </c>
    </row>
    <row r="37" spans="1:21" ht="16.5" x14ac:dyDescent="0.3">
      <c r="A37" s="126">
        <v>3</v>
      </c>
      <c r="B37" s="199" t="s">
        <v>212</v>
      </c>
      <c r="C37" s="126" t="str">
        <f t="shared" si="0"/>
        <v>013</v>
      </c>
      <c r="D37" s="126" t="s">
        <v>238</v>
      </c>
      <c r="E37" t="s">
        <v>281</v>
      </c>
      <c r="G37" s="27" t="s">
        <v>203</v>
      </c>
      <c r="H37" s="24"/>
      <c r="I37" s="28">
        <v>400</v>
      </c>
      <c r="J37" s="28">
        <v>400</v>
      </c>
      <c r="K37" s="28">
        <v>400</v>
      </c>
      <c r="L37" s="28">
        <v>400</v>
      </c>
      <c r="M37" s="28">
        <v>400</v>
      </c>
      <c r="N37" s="28">
        <v>400</v>
      </c>
      <c r="O37" s="28">
        <v>400</v>
      </c>
      <c r="P37" s="28">
        <v>400</v>
      </c>
      <c r="Q37" s="28">
        <v>400</v>
      </c>
      <c r="R37" s="28">
        <v>400</v>
      </c>
      <c r="S37" s="28">
        <v>400</v>
      </c>
      <c r="T37" s="28">
        <v>400</v>
      </c>
      <c r="U37" s="29">
        <f t="shared" si="10"/>
        <v>4800</v>
      </c>
    </row>
    <row r="38" spans="1:21" ht="16.5" x14ac:dyDescent="0.3">
      <c r="A38" s="126">
        <v>4</v>
      </c>
      <c r="B38" s="199" t="s">
        <v>212</v>
      </c>
      <c r="C38" s="126" t="str">
        <f t="shared" si="0"/>
        <v>014</v>
      </c>
      <c r="D38" s="126" t="s">
        <v>244</v>
      </c>
      <c r="E38" t="s">
        <v>293</v>
      </c>
      <c r="G38" s="27" t="s">
        <v>45</v>
      </c>
      <c r="H38" s="24"/>
      <c r="I38" s="28">
        <v>250</v>
      </c>
      <c r="J38" s="28">
        <v>250</v>
      </c>
      <c r="K38" s="28">
        <v>250</v>
      </c>
      <c r="L38" s="28">
        <v>250</v>
      </c>
      <c r="M38" s="28">
        <v>250</v>
      </c>
      <c r="N38" s="28">
        <v>250</v>
      </c>
      <c r="O38" s="28">
        <v>250</v>
      </c>
      <c r="P38" s="28">
        <v>250</v>
      </c>
      <c r="Q38" s="28">
        <v>250</v>
      </c>
      <c r="R38" s="28">
        <v>250</v>
      </c>
      <c r="S38" s="28">
        <v>250</v>
      </c>
      <c r="T38" s="28">
        <v>250</v>
      </c>
      <c r="U38" s="29">
        <f t="shared" si="10"/>
        <v>3000</v>
      </c>
    </row>
    <row r="39" spans="1:21" ht="16.5" x14ac:dyDescent="0.3">
      <c r="A39" s="126">
        <v>4</v>
      </c>
      <c r="B39" s="199" t="s">
        <v>212</v>
      </c>
      <c r="C39" s="126" t="str">
        <f t="shared" si="0"/>
        <v>014</v>
      </c>
      <c r="D39" s="126" t="s">
        <v>244</v>
      </c>
      <c r="E39" t="s">
        <v>297</v>
      </c>
      <c r="G39" s="27" t="s">
        <v>46</v>
      </c>
      <c r="H39" s="24"/>
      <c r="I39" s="28">
        <v>250</v>
      </c>
      <c r="J39" s="28">
        <v>250</v>
      </c>
      <c r="K39" s="28">
        <v>250</v>
      </c>
      <c r="L39" s="28">
        <v>250</v>
      </c>
      <c r="M39" s="28">
        <v>250</v>
      </c>
      <c r="N39" s="28">
        <v>250</v>
      </c>
      <c r="O39" s="28">
        <v>250</v>
      </c>
      <c r="P39" s="28">
        <v>250</v>
      </c>
      <c r="Q39" s="28">
        <v>250</v>
      </c>
      <c r="R39" s="28">
        <v>250</v>
      </c>
      <c r="S39" s="28">
        <v>250</v>
      </c>
      <c r="T39" s="28">
        <v>250</v>
      </c>
      <c r="U39" s="29">
        <f t="shared" si="10"/>
        <v>3000</v>
      </c>
    </row>
    <row r="40" spans="1:21" ht="16.5" x14ac:dyDescent="0.3">
      <c r="A40" s="126">
        <v>4</v>
      </c>
      <c r="B40" s="199" t="s">
        <v>212</v>
      </c>
      <c r="C40" s="126" t="str">
        <f t="shared" si="0"/>
        <v>014</v>
      </c>
      <c r="D40" s="126" t="s">
        <v>244</v>
      </c>
      <c r="E40" t="s">
        <v>297</v>
      </c>
      <c r="F40" s="35">
        <v>0.25</v>
      </c>
      <c r="G40" s="36" t="str">
        <f>"Contigency"&amp;" "&amp;"at"&amp;" "&amp;(F40*100)&amp;"%"</f>
        <v>Contigency at 25%</v>
      </c>
      <c r="H40" s="37"/>
      <c r="I40" s="38">
        <f t="shared" ref="I40:T40" si="11">SUM(I34:I39)*$F$40</f>
        <v>406.25</v>
      </c>
      <c r="J40" s="38">
        <f t="shared" si="11"/>
        <v>406.25</v>
      </c>
      <c r="K40" s="38">
        <f t="shared" si="11"/>
        <v>406.25</v>
      </c>
      <c r="L40" s="38">
        <f t="shared" si="11"/>
        <v>406.25</v>
      </c>
      <c r="M40" s="38">
        <f t="shared" si="11"/>
        <v>406.25</v>
      </c>
      <c r="N40" s="38">
        <f t="shared" si="11"/>
        <v>406.25</v>
      </c>
      <c r="O40" s="38">
        <f t="shared" si="11"/>
        <v>406.25</v>
      </c>
      <c r="P40" s="38">
        <f t="shared" si="11"/>
        <v>406.25</v>
      </c>
      <c r="Q40" s="38">
        <f t="shared" si="11"/>
        <v>406.25</v>
      </c>
      <c r="R40" s="38">
        <f t="shared" si="11"/>
        <v>406.25</v>
      </c>
      <c r="S40" s="38">
        <f t="shared" si="11"/>
        <v>406.25</v>
      </c>
      <c r="T40" s="38">
        <f t="shared" si="11"/>
        <v>406.25</v>
      </c>
      <c r="U40" s="39">
        <f t="shared" si="10"/>
        <v>4875</v>
      </c>
    </row>
    <row r="41" spans="1:21" ht="15.75" thickBot="1" x14ac:dyDescent="0.35">
      <c r="A41" s="126"/>
      <c r="B41" s="126"/>
      <c r="C41" s="126" t="str">
        <f t="shared" si="0"/>
        <v/>
      </c>
      <c r="D41" s="126"/>
      <c r="E41" s="126"/>
      <c r="G41" s="30" t="s">
        <v>1</v>
      </c>
      <c r="H41" s="31"/>
      <c r="I41" s="32">
        <f>SUM(I34:I40)</f>
        <v>2031.25</v>
      </c>
      <c r="J41" s="32">
        <f t="shared" ref="J41:T41" si="12">SUM(J34:J40)</f>
        <v>2031.25</v>
      </c>
      <c r="K41" s="32">
        <f t="shared" si="12"/>
        <v>2031.25</v>
      </c>
      <c r="L41" s="32">
        <f t="shared" si="12"/>
        <v>2031.25</v>
      </c>
      <c r="M41" s="32">
        <f t="shared" si="12"/>
        <v>2031.25</v>
      </c>
      <c r="N41" s="32">
        <f t="shared" si="12"/>
        <v>2031.25</v>
      </c>
      <c r="O41" s="32">
        <f t="shared" si="12"/>
        <v>2031.25</v>
      </c>
      <c r="P41" s="32">
        <f t="shared" si="12"/>
        <v>2031.25</v>
      </c>
      <c r="Q41" s="32">
        <f t="shared" si="12"/>
        <v>2031.25</v>
      </c>
      <c r="R41" s="32">
        <f t="shared" si="12"/>
        <v>2031.25</v>
      </c>
      <c r="S41" s="32">
        <f t="shared" si="12"/>
        <v>2031.25</v>
      </c>
      <c r="T41" s="32">
        <f t="shared" si="12"/>
        <v>2031.25</v>
      </c>
      <c r="U41" s="33">
        <f>SUM(U34:U40)</f>
        <v>24375</v>
      </c>
    </row>
    <row r="42" spans="1:21" ht="15.75" thickTop="1" x14ac:dyDescent="0.3">
      <c r="A42" s="126"/>
      <c r="B42" s="126"/>
      <c r="C42" s="126" t="str">
        <f t="shared" si="0"/>
        <v/>
      </c>
      <c r="D42" s="126"/>
      <c r="E42" s="126"/>
      <c r="G42" s="26" t="s">
        <v>439</v>
      </c>
      <c r="H42" s="24"/>
      <c r="I42" s="28"/>
      <c r="J42" s="28"/>
      <c r="K42" s="28"/>
      <c r="L42" s="28"/>
      <c r="M42" s="28"/>
      <c r="N42" s="28"/>
      <c r="O42" s="28"/>
      <c r="P42" s="28"/>
      <c r="Q42" s="28"/>
      <c r="R42" s="28"/>
      <c r="S42" s="28"/>
      <c r="T42" s="28"/>
      <c r="U42" s="34"/>
    </row>
    <row r="43" spans="1:21" ht="16.5" x14ac:dyDescent="0.3">
      <c r="A43" s="126">
        <v>3</v>
      </c>
      <c r="B43" s="199" t="s">
        <v>219</v>
      </c>
      <c r="C43" s="126" t="str">
        <f t="shared" si="0"/>
        <v>043</v>
      </c>
      <c r="D43" s="126" t="s">
        <v>238</v>
      </c>
      <c r="E43" t="s">
        <v>343</v>
      </c>
      <c r="G43" s="168" t="s">
        <v>344</v>
      </c>
      <c r="H43" s="24"/>
      <c r="I43" s="28">
        <v>5000</v>
      </c>
      <c r="J43" s="28">
        <v>1000</v>
      </c>
      <c r="K43" s="28">
        <v>1000</v>
      </c>
      <c r="L43" s="28">
        <v>5000</v>
      </c>
      <c r="M43" s="28">
        <v>1000</v>
      </c>
      <c r="N43" s="28">
        <v>1000</v>
      </c>
      <c r="O43" s="28">
        <v>5000</v>
      </c>
      <c r="P43" s="28">
        <v>1000</v>
      </c>
      <c r="Q43" s="28">
        <v>1000</v>
      </c>
      <c r="R43" s="28">
        <v>5000</v>
      </c>
      <c r="S43" s="28">
        <v>1000</v>
      </c>
      <c r="T43" s="28">
        <v>1000</v>
      </c>
      <c r="U43" s="29">
        <f>SUM(I43:T43)</f>
        <v>28000</v>
      </c>
    </row>
    <row r="44" spans="1:21" ht="16.5" x14ac:dyDescent="0.3">
      <c r="A44" s="126">
        <v>3</v>
      </c>
      <c r="B44" s="199" t="s">
        <v>219</v>
      </c>
      <c r="C44" s="126" t="str">
        <f t="shared" si="0"/>
        <v>043</v>
      </c>
      <c r="D44" s="126" t="s">
        <v>238</v>
      </c>
      <c r="E44" t="s">
        <v>345</v>
      </c>
      <c r="G44" s="168" t="s">
        <v>346</v>
      </c>
      <c r="H44" s="24"/>
      <c r="I44" s="28">
        <v>5000</v>
      </c>
      <c r="J44" s="28">
        <v>5000</v>
      </c>
      <c r="K44" s="28">
        <v>5000</v>
      </c>
      <c r="L44" s="28">
        <v>5000</v>
      </c>
      <c r="M44" s="28">
        <v>5000</v>
      </c>
      <c r="N44" s="28">
        <v>5000</v>
      </c>
      <c r="O44" s="28">
        <v>5000</v>
      </c>
      <c r="P44" s="28">
        <v>5000</v>
      </c>
      <c r="Q44" s="28">
        <v>5000</v>
      </c>
      <c r="R44" s="28">
        <v>5000</v>
      </c>
      <c r="S44" s="28">
        <v>5000</v>
      </c>
      <c r="T44" s="28">
        <v>5000</v>
      </c>
      <c r="U44" s="29">
        <f t="shared" ref="U44:U50" si="13">SUM(I44:T44)</f>
        <v>60000</v>
      </c>
    </row>
    <row r="45" spans="1:21" ht="16.5" x14ac:dyDescent="0.3">
      <c r="A45" s="126">
        <v>3</v>
      </c>
      <c r="B45" s="199" t="s">
        <v>220</v>
      </c>
      <c r="C45" s="126" t="str">
        <f t="shared" si="0"/>
        <v>053</v>
      </c>
      <c r="D45" s="126" t="s">
        <v>238</v>
      </c>
      <c r="E45" t="s">
        <v>351</v>
      </c>
      <c r="G45" s="168" t="s">
        <v>352</v>
      </c>
      <c r="H45" s="24"/>
      <c r="I45" s="28"/>
      <c r="J45" s="28"/>
      <c r="K45" s="28"/>
      <c r="L45" s="28"/>
      <c r="M45" s="28"/>
      <c r="N45" s="28"/>
      <c r="O45" s="28"/>
      <c r="P45" s="28"/>
      <c r="Q45" s="28"/>
      <c r="R45" s="28"/>
      <c r="S45" s="28"/>
      <c r="T45" s="28"/>
      <c r="U45" s="29">
        <f t="shared" si="13"/>
        <v>0</v>
      </c>
    </row>
    <row r="46" spans="1:21" ht="16.5" x14ac:dyDescent="0.3">
      <c r="A46" s="126">
        <v>7</v>
      </c>
      <c r="B46" s="199" t="s">
        <v>219</v>
      </c>
      <c r="C46" s="126" t="str">
        <f t="shared" si="0"/>
        <v>047</v>
      </c>
      <c r="D46" s="126" t="s">
        <v>256</v>
      </c>
      <c r="E46" t="s">
        <v>349</v>
      </c>
      <c r="G46" s="168" t="s">
        <v>350</v>
      </c>
      <c r="H46" s="24"/>
      <c r="I46" s="246"/>
      <c r="J46" s="246"/>
      <c r="K46" s="246"/>
      <c r="L46" s="246"/>
      <c r="M46" s="246"/>
      <c r="N46" s="246"/>
      <c r="O46" s="246"/>
      <c r="P46" s="246"/>
      <c r="Q46" s="246"/>
      <c r="R46" s="246"/>
      <c r="S46" s="246"/>
      <c r="T46" s="246"/>
      <c r="U46" s="29">
        <f t="shared" si="13"/>
        <v>0</v>
      </c>
    </row>
    <row r="47" spans="1:21" ht="16.5" x14ac:dyDescent="0.3">
      <c r="A47" s="126">
        <v>7</v>
      </c>
      <c r="B47" s="199" t="s">
        <v>220</v>
      </c>
      <c r="C47" s="126" t="str">
        <f t="shared" si="0"/>
        <v>057</v>
      </c>
      <c r="D47" s="126" t="s">
        <v>256</v>
      </c>
      <c r="E47" t="s">
        <v>357</v>
      </c>
      <c r="G47" s="168" t="s">
        <v>358</v>
      </c>
      <c r="H47" s="24"/>
      <c r="I47" s="246"/>
      <c r="J47" s="246">
        <v>10000</v>
      </c>
      <c r="K47" s="246">
        <v>20000</v>
      </c>
      <c r="L47" s="246">
        <v>17000</v>
      </c>
      <c r="M47" s="246">
        <v>17000</v>
      </c>
      <c r="N47" s="246">
        <v>17000</v>
      </c>
      <c r="O47" s="246"/>
      <c r="P47" s="246"/>
      <c r="Q47" s="246">
        <v>10000</v>
      </c>
      <c r="R47" s="246"/>
      <c r="S47" s="246"/>
      <c r="T47" s="246">
        <v>10000</v>
      </c>
      <c r="U47" s="29">
        <f t="shared" si="13"/>
        <v>101000</v>
      </c>
    </row>
    <row r="48" spans="1:21" ht="16.5" x14ac:dyDescent="0.3">
      <c r="A48" s="126"/>
      <c r="B48" s="126"/>
      <c r="C48" s="126" t="str">
        <f t="shared" si="0"/>
        <v/>
      </c>
      <c r="D48" s="126"/>
      <c r="E48"/>
      <c r="G48" s="168" t="s">
        <v>154</v>
      </c>
      <c r="H48" s="24"/>
      <c r="I48" s="246"/>
      <c r="J48" s="246"/>
      <c r="K48" s="246"/>
      <c r="L48" s="246"/>
      <c r="M48" s="246"/>
      <c r="N48" s="246"/>
      <c r="O48" s="246"/>
      <c r="P48" s="246"/>
      <c r="Q48" s="246"/>
      <c r="R48" s="246"/>
      <c r="S48" s="246"/>
      <c r="T48" s="246"/>
      <c r="U48" s="29">
        <f t="shared" si="13"/>
        <v>0</v>
      </c>
    </row>
    <row r="49" spans="1:21" x14ac:dyDescent="0.3">
      <c r="A49" s="126"/>
      <c r="B49" s="126"/>
      <c r="C49" s="126" t="str">
        <f t="shared" si="0"/>
        <v/>
      </c>
      <c r="D49" s="126"/>
      <c r="E49" s="126"/>
      <c r="G49" s="168" t="s">
        <v>46</v>
      </c>
      <c r="H49" s="24"/>
      <c r="I49" s="28"/>
      <c r="J49" s="28"/>
      <c r="K49" s="28"/>
      <c r="L49" s="28"/>
      <c r="M49" s="28"/>
      <c r="N49" s="28"/>
      <c r="O49" s="28"/>
      <c r="P49" s="28"/>
      <c r="Q49" s="28"/>
      <c r="R49" s="28"/>
      <c r="S49" s="28"/>
      <c r="T49" s="28"/>
      <c r="U49" s="29">
        <f t="shared" si="13"/>
        <v>0</v>
      </c>
    </row>
    <row r="50" spans="1:21" ht="16.5" x14ac:dyDescent="0.3">
      <c r="A50" s="126">
        <v>3</v>
      </c>
      <c r="B50" s="199" t="s">
        <v>219</v>
      </c>
      <c r="C50" s="126" t="str">
        <f t="shared" si="0"/>
        <v>043</v>
      </c>
      <c r="D50" s="126" t="s">
        <v>238</v>
      </c>
      <c r="E50" t="s">
        <v>343</v>
      </c>
      <c r="F50" s="35">
        <v>0.1</v>
      </c>
      <c r="G50" s="36" t="str">
        <f>"Contigency"&amp;" "&amp;"at"&amp;" "&amp;(F50*100)&amp;"%"</f>
        <v>Contigency at 10%</v>
      </c>
      <c r="H50" s="24"/>
      <c r="I50" s="28">
        <f t="shared" ref="I50:T50" si="14">SUM(I43:I49)*$F$50</f>
        <v>1000</v>
      </c>
      <c r="J50" s="28">
        <f t="shared" si="14"/>
        <v>1600</v>
      </c>
      <c r="K50" s="28">
        <f t="shared" si="14"/>
        <v>2600</v>
      </c>
      <c r="L50" s="28">
        <f t="shared" si="14"/>
        <v>2700</v>
      </c>
      <c r="M50" s="28">
        <f t="shared" si="14"/>
        <v>2300</v>
      </c>
      <c r="N50" s="28">
        <f t="shared" si="14"/>
        <v>2300</v>
      </c>
      <c r="O50" s="28">
        <f t="shared" si="14"/>
        <v>1000</v>
      </c>
      <c r="P50" s="28">
        <f t="shared" si="14"/>
        <v>600</v>
      </c>
      <c r="Q50" s="28">
        <f t="shared" si="14"/>
        <v>1600</v>
      </c>
      <c r="R50" s="28">
        <f t="shared" si="14"/>
        <v>1000</v>
      </c>
      <c r="S50" s="28">
        <f t="shared" si="14"/>
        <v>600</v>
      </c>
      <c r="T50" s="28">
        <f t="shared" si="14"/>
        <v>1600</v>
      </c>
      <c r="U50" s="29">
        <f t="shared" si="13"/>
        <v>18900</v>
      </c>
    </row>
    <row r="51" spans="1:21" ht="15.75" thickBot="1" x14ac:dyDescent="0.35">
      <c r="A51" s="126"/>
      <c r="B51" s="126"/>
      <c r="C51" s="126" t="str">
        <f t="shared" si="0"/>
        <v/>
      </c>
      <c r="D51" s="126"/>
      <c r="E51" s="126"/>
      <c r="G51" s="30" t="s">
        <v>1</v>
      </c>
      <c r="H51" s="31"/>
      <c r="I51" s="32">
        <f t="shared" ref="I51:U51" si="15">SUM(I43:I50)</f>
        <v>11000</v>
      </c>
      <c r="J51" s="32">
        <f t="shared" si="15"/>
        <v>17600</v>
      </c>
      <c r="K51" s="32">
        <f t="shared" si="15"/>
        <v>28600</v>
      </c>
      <c r="L51" s="32">
        <f t="shared" si="15"/>
        <v>29700</v>
      </c>
      <c r="M51" s="32">
        <f t="shared" si="15"/>
        <v>25300</v>
      </c>
      <c r="N51" s="32">
        <f t="shared" si="15"/>
        <v>25300</v>
      </c>
      <c r="O51" s="32">
        <f t="shared" si="15"/>
        <v>11000</v>
      </c>
      <c r="P51" s="32">
        <f t="shared" si="15"/>
        <v>6600</v>
      </c>
      <c r="Q51" s="32">
        <f t="shared" si="15"/>
        <v>17600</v>
      </c>
      <c r="R51" s="32">
        <f t="shared" si="15"/>
        <v>11000</v>
      </c>
      <c r="S51" s="32">
        <f t="shared" si="15"/>
        <v>6600</v>
      </c>
      <c r="T51" s="32">
        <f t="shared" si="15"/>
        <v>17600</v>
      </c>
      <c r="U51" s="33">
        <f t="shared" si="15"/>
        <v>207900</v>
      </c>
    </row>
    <row r="52" spans="1:21" ht="15.75" thickTop="1" x14ac:dyDescent="0.3">
      <c r="A52" s="126"/>
      <c r="B52" s="126"/>
      <c r="C52" s="126" t="str">
        <f t="shared" si="0"/>
        <v/>
      </c>
      <c r="D52" s="126"/>
      <c r="E52" s="126"/>
      <c r="G52" s="26" t="s">
        <v>58</v>
      </c>
      <c r="H52" s="24"/>
      <c r="I52" s="24"/>
      <c r="J52" s="24"/>
      <c r="K52" s="24"/>
      <c r="L52" s="24"/>
      <c r="M52" s="24"/>
      <c r="N52" s="24"/>
      <c r="O52" s="24"/>
      <c r="P52" s="24"/>
      <c r="Q52" s="24"/>
      <c r="R52" s="24"/>
      <c r="S52" s="24"/>
      <c r="T52" s="24"/>
      <c r="U52" s="34"/>
    </row>
    <row r="53" spans="1:21" ht="16.5" x14ac:dyDescent="0.3">
      <c r="A53" s="126">
        <v>1</v>
      </c>
      <c r="B53" s="199" t="s">
        <v>217</v>
      </c>
      <c r="C53" s="126" t="str">
        <f t="shared" si="0"/>
        <v>021</v>
      </c>
      <c r="D53" s="126" t="s">
        <v>30</v>
      </c>
      <c r="E53" t="s">
        <v>321</v>
      </c>
      <c r="G53" s="27" t="s">
        <v>47</v>
      </c>
      <c r="H53" s="24"/>
      <c r="I53" s="28"/>
      <c r="J53" s="28"/>
      <c r="K53" s="28"/>
      <c r="L53" s="28"/>
      <c r="M53" s="28"/>
      <c r="N53" s="28"/>
      <c r="O53" s="28"/>
      <c r="P53" s="28"/>
      <c r="Q53" s="28"/>
      <c r="R53" s="28"/>
      <c r="S53" s="28"/>
      <c r="T53" s="28">
        <v>5000</v>
      </c>
      <c r="U53" s="29">
        <f>SUM(I53:T53)</f>
        <v>5000</v>
      </c>
    </row>
    <row r="54" spans="1:21" ht="16.5" x14ac:dyDescent="0.3">
      <c r="A54" s="126">
        <v>1</v>
      </c>
      <c r="B54" s="199" t="s">
        <v>217</v>
      </c>
      <c r="C54" s="126" t="str">
        <f t="shared" si="0"/>
        <v>021</v>
      </c>
      <c r="D54" s="126" t="s">
        <v>30</v>
      </c>
      <c r="E54" t="s">
        <v>309</v>
      </c>
      <c r="G54" s="27" t="s">
        <v>228</v>
      </c>
      <c r="H54" s="24"/>
      <c r="I54" s="28"/>
      <c r="J54" s="28"/>
      <c r="K54" s="28"/>
      <c r="L54" s="28"/>
      <c r="M54" s="28"/>
      <c r="N54" s="28"/>
      <c r="O54" s="28"/>
      <c r="P54" s="28"/>
      <c r="Q54" s="28"/>
      <c r="R54" s="28"/>
      <c r="S54" s="28"/>
      <c r="T54" s="28">
        <f>4*2000</f>
        <v>8000</v>
      </c>
      <c r="U54" s="29">
        <f t="shared" ref="U54:U63" si="16">SUM(I54:T54)</f>
        <v>8000</v>
      </c>
    </row>
    <row r="55" spans="1:21" ht="16.5" x14ac:dyDescent="0.3">
      <c r="A55" s="126">
        <v>1</v>
      </c>
      <c r="B55" s="199" t="s">
        <v>217</v>
      </c>
      <c r="C55" s="126" t="str">
        <f t="shared" si="0"/>
        <v>021</v>
      </c>
      <c r="D55" s="126" t="s">
        <v>30</v>
      </c>
      <c r="E55" t="s">
        <v>311</v>
      </c>
      <c r="G55" s="27" t="s">
        <v>229</v>
      </c>
      <c r="H55" s="24"/>
      <c r="I55" s="28"/>
      <c r="J55" s="28"/>
      <c r="K55" s="28"/>
      <c r="L55" s="28"/>
      <c r="M55" s="28"/>
      <c r="N55" s="28"/>
      <c r="O55" s="28"/>
      <c r="P55" s="28"/>
      <c r="Q55" s="28"/>
      <c r="R55" s="28"/>
      <c r="S55" s="28"/>
      <c r="T55" s="28">
        <f>4*2000</f>
        <v>8000</v>
      </c>
      <c r="U55" s="29">
        <f t="shared" si="16"/>
        <v>8000</v>
      </c>
    </row>
    <row r="56" spans="1:21" ht="16.5" x14ac:dyDescent="0.3">
      <c r="A56" s="126">
        <v>1</v>
      </c>
      <c r="B56" s="199" t="s">
        <v>217</v>
      </c>
      <c r="C56" s="126" t="str">
        <f t="shared" si="0"/>
        <v>021</v>
      </c>
      <c r="D56" s="126" t="s">
        <v>30</v>
      </c>
      <c r="E56" t="s">
        <v>313</v>
      </c>
      <c r="G56" s="27" t="s">
        <v>405</v>
      </c>
      <c r="H56" s="24"/>
      <c r="I56" s="28"/>
      <c r="J56" s="28"/>
      <c r="K56" s="28"/>
      <c r="L56" s="28"/>
      <c r="M56" s="28"/>
      <c r="N56" s="28"/>
      <c r="O56" s="28"/>
      <c r="P56" s="28"/>
      <c r="Q56" s="28"/>
      <c r="R56" s="28"/>
      <c r="S56" s="28"/>
      <c r="T56" s="28">
        <f>1000</f>
        <v>1000</v>
      </c>
      <c r="U56" s="29">
        <f t="shared" si="16"/>
        <v>1000</v>
      </c>
    </row>
    <row r="57" spans="1:21" ht="16.5" x14ac:dyDescent="0.3">
      <c r="A57" s="126">
        <v>1</v>
      </c>
      <c r="B57" s="199" t="s">
        <v>217</v>
      </c>
      <c r="C57" s="126" t="str">
        <f t="shared" si="0"/>
        <v>021</v>
      </c>
      <c r="D57" s="126" t="s">
        <v>30</v>
      </c>
      <c r="E57" t="s">
        <v>315</v>
      </c>
      <c r="G57" s="27" t="s">
        <v>404</v>
      </c>
      <c r="H57" s="24"/>
      <c r="I57" s="28"/>
      <c r="J57" s="28"/>
      <c r="K57" s="28"/>
      <c r="L57" s="28"/>
      <c r="M57" s="28"/>
      <c r="N57" s="28"/>
      <c r="O57" s="28"/>
      <c r="P57" s="28"/>
      <c r="Q57" s="28"/>
      <c r="R57" s="28"/>
      <c r="S57" s="28"/>
      <c r="T57" s="28">
        <v>1000</v>
      </c>
      <c r="U57" s="29">
        <f t="shared" si="16"/>
        <v>1000</v>
      </c>
    </row>
    <row r="58" spans="1:21" ht="16.5" x14ac:dyDescent="0.3">
      <c r="A58" s="126">
        <v>1</v>
      </c>
      <c r="B58" s="199" t="s">
        <v>217</v>
      </c>
      <c r="C58" s="126" t="str">
        <f t="shared" si="0"/>
        <v>021</v>
      </c>
      <c r="D58" s="126" t="s">
        <v>30</v>
      </c>
      <c r="E58" t="s">
        <v>317</v>
      </c>
      <c r="G58" s="27" t="s">
        <v>231</v>
      </c>
      <c r="H58" s="24"/>
      <c r="I58" s="28"/>
      <c r="J58" s="28"/>
      <c r="K58" s="28"/>
      <c r="L58" s="28"/>
      <c r="M58" s="28"/>
      <c r="N58" s="28"/>
      <c r="O58" s="28"/>
      <c r="P58" s="28"/>
      <c r="Q58" s="28"/>
      <c r="R58" s="28"/>
      <c r="S58" s="28"/>
      <c r="T58" s="28"/>
      <c r="U58" s="29">
        <f t="shared" si="16"/>
        <v>0</v>
      </c>
    </row>
    <row r="59" spans="1:21" ht="16.5" x14ac:dyDescent="0.3">
      <c r="A59" s="126">
        <v>5</v>
      </c>
      <c r="B59" s="199" t="s">
        <v>217</v>
      </c>
      <c r="C59" s="126" t="str">
        <f t="shared" si="0"/>
        <v>025</v>
      </c>
      <c r="D59" s="126" t="s">
        <v>251</v>
      </c>
      <c r="E59" t="s">
        <v>323</v>
      </c>
      <c r="G59" s="27" t="s">
        <v>53</v>
      </c>
      <c r="H59" s="24"/>
      <c r="I59" s="28"/>
      <c r="J59" s="28"/>
      <c r="K59" s="28"/>
      <c r="L59" s="28"/>
      <c r="M59" s="28"/>
      <c r="N59" s="28"/>
      <c r="O59" s="28"/>
      <c r="P59" s="28"/>
      <c r="Q59" s="28"/>
      <c r="R59" s="28"/>
      <c r="S59" s="28"/>
      <c r="T59" s="28"/>
      <c r="U59" s="29">
        <f t="shared" si="16"/>
        <v>0</v>
      </c>
    </row>
    <row r="60" spans="1:21" ht="16.5" x14ac:dyDescent="0.3">
      <c r="A60" s="126">
        <v>5</v>
      </c>
      <c r="B60" s="199" t="s">
        <v>217</v>
      </c>
      <c r="C60" s="126" t="str">
        <f t="shared" si="0"/>
        <v>025</v>
      </c>
      <c r="D60" s="126" t="s">
        <v>251</v>
      </c>
      <c r="E60" t="s">
        <v>409</v>
      </c>
      <c r="G60" s="27" t="s">
        <v>406</v>
      </c>
      <c r="H60" s="24"/>
      <c r="I60" s="28">
        <v>125</v>
      </c>
      <c r="J60" s="28">
        <v>125</v>
      </c>
      <c r="K60" s="28">
        <v>125</v>
      </c>
      <c r="L60" s="28">
        <v>125</v>
      </c>
      <c r="M60" s="28">
        <v>125</v>
      </c>
      <c r="N60" s="28">
        <v>125</v>
      </c>
      <c r="O60" s="28">
        <v>125</v>
      </c>
      <c r="P60" s="28">
        <v>125</v>
      </c>
      <c r="Q60" s="28">
        <v>125</v>
      </c>
      <c r="R60" s="28">
        <v>125</v>
      </c>
      <c r="S60" s="28">
        <v>125</v>
      </c>
      <c r="T60" s="28">
        <v>125</v>
      </c>
      <c r="U60" s="29">
        <f t="shared" si="16"/>
        <v>1500</v>
      </c>
    </row>
    <row r="61" spans="1:21" ht="16.5" x14ac:dyDescent="0.3">
      <c r="A61" s="126">
        <v>5</v>
      </c>
      <c r="B61" s="199" t="s">
        <v>217</v>
      </c>
      <c r="C61" s="126" t="str">
        <f t="shared" si="0"/>
        <v>025</v>
      </c>
      <c r="D61" s="126" t="s">
        <v>251</v>
      </c>
      <c r="E61" t="s">
        <v>410</v>
      </c>
      <c r="G61" s="27" t="s">
        <v>407</v>
      </c>
      <c r="H61" s="24"/>
      <c r="I61" s="28"/>
      <c r="J61" s="28">
        <v>1000</v>
      </c>
      <c r="K61" s="28"/>
      <c r="L61" s="28">
        <v>500</v>
      </c>
      <c r="M61" s="28"/>
      <c r="N61" s="28"/>
      <c r="O61" s="28">
        <v>500</v>
      </c>
      <c r="P61" s="28"/>
      <c r="Q61" s="28"/>
      <c r="R61" s="28">
        <v>500</v>
      </c>
      <c r="S61" s="28"/>
      <c r="T61" s="28">
        <v>500</v>
      </c>
      <c r="U61" s="29">
        <f t="shared" si="16"/>
        <v>3000</v>
      </c>
    </row>
    <row r="62" spans="1:21" ht="16.5" x14ac:dyDescent="0.3">
      <c r="A62" s="126">
        <v>5</v>
      </c>
      <c r="B62" s="199" t="s">
        <v>217</v>
      </c>
      <c r="C62" s="126" t="str">
        <f t="shared" si="0"/>
        <v>025</v>
      </c>
      <c r="D62" s="126" t="s">
        <v>251</v>
      </c>
      <c r="E62" t="s">
        <v>410</v>
      </c>
      <c r="G62" s="27" t="s">
        <v>46</v>
      </c>
      <c r="H62" s="24"/>
      <c r="I62" s="28"/>
      <c r="J62" s="28"/>
      <c r="K62" s="28"/>
      <c r="L62" s="28"/>
      <c r="M62" s="28"/>
      <c r="N62" s="28"/>
      <c r="O62" s="28"/>
      <c r="P62" s="28"/>
      <c r="Q62" s="28"/>
      <c r="R62" s="28"/>
      <c r="S62" s="28"/>
      <c r="T62" s="28"/>
      <c r="U62" s="29">
        <f t="shared" si="16"/>
        <v>0</v>
      </c>
    </row>
    <row r="63" spans="1:21" ht="16.5" x14ac:dyDescent="0.3">
      <c r="A63" s="126">
        <v>5</v>
      </c>
      <c r="B63" s="199" t="s">
        <v>217</v>
      </c>
      <c r="C63" s="126" t="str">
        <f t="shared" si="0"/>
        <v>025</v>
      </c>
      <c r="D63" s="126" t="s">
        <v>251</v>
      </c>
      <c r="E63" t="s">
        <v>410</v>
      </c>
      <c r="F63" s="35">
        <v>0.1</v>
      </c>
      <c r="G63" s="36" t="str">
        <f>"Contigency"&amp;" "&amp;"at"&amp;" "&amp;(F63*100)&amp;"%"</f>
        <v>Contigency at 10%</v>
      </c>
      <c r="H63" s="37"/>
      <c r="I63" s="38">
        <f t="shared" ref="I63:T63" si="17">SUM(I53:I62)*$F$63</f>
        <v>12.5</v>
      </c>
      <c r="J63" s="38">
        <f t="shared" si="17"/>
        <v>112.5</v>
      </c>
      <c r="K63" s="38">
        <f t="shared" si="17"/>
        <v>12.5</v>
      </c>
      <c r="L63" s="38">
        <f t="shared" si="17"/>
        <v>62.5</v>
      </c>
      <c r="M63" s="38">
        <f t="shared" si="17"/>
        <v>12.5</v>
      </c>
      <c r="N63" s="38">
        <f t="shared" si="17"/>
        <v>12.5</v>
      </c>
      <c r="O63" s="38">
        <f t="shared" si="17"/>
        <v>62.5</v>
      </c>
      <c r="P63" s="38">
        <f t="shared" si="17"/>
        <v>12.5</v>
      </c>
      <c r="Q63" s="38">
        <f t="shared" si="17"/>
        <v>12.5</v>
      </c>
      <c r="R63" s="38">
        <f t="shared" si="17"/>
        <v>62.5</v>
      </c>
      <c r="S63" s="38">
        <f t="shared" si="17"/>
        <v>12.5</v>
      </c>
      <c r="T63" s="38">
        <f t="shared" si="17"/>
        <v>2362.5</v>
      </c>
      <c r="U63" s="29">
        <f t="shared" si="16"/>
        <v>2750</v>
      </c>
    </row>
    <row r="64" spans="1:21" ht="15.75" thickBot="1" x14ac:dyDescent="0.35">
      <c r="A64" s="126"/>
      <c r="B64" s="126"/>
      <c r="C64" s="126"/>
      <c r="D64" s="126"/>
      <c r="E64" s="126"/>
      <c r="G64" s="30" t="s">
        <v>1</v>
      </c>
      <c r="H64" s="31"/>
      <c r="I64" s="32">
        <f t="shared" ref="I64:U64" si="18">SUM(I53:I63)</f>
        <v>137.5</v>
      </c>
      <c r="J64" s="32">
        <f t="shared" si="18"/>
        <v>1237.5</v>
      </c>
      <c r="K64" s="32">
        <f t="shared" si="18"/>
        <v>137.5</v>
      </c>
      <c r="L64" s="32">
        <f t="shared" si="18"/>
        <v>687.5</v>
      </c>
      <c r="M64" s="32">
        <f t="shared" si="18"/>
        <v>137.5</v>
      </c>
      <c r="N64" s="32">
        <f t="shared" si="18"/>
        <v>137.5</v>
      </c>
      <c r="O64" s="32">
        <f t="shared" si="18"/>
        <v>687.5</v>
      </c>
      <c r="P64" s="32">
        <f t="shared" si="18"/>
        <v>137.5</v>
      </c>
      <c r="Q64" s="32">
        <f t="shared" si="18"/>
        <v>137.5</v>
      </c>
      <c r="R64" s="32">
        <f t="shared" si="18"/>
        <v>687.5</v>
      </c>
      <c r="S64" s="32">
        <f t="shared" si="18"/>
        <v>137.5</v>
      </c>
      <c r="T64" s="32">
        <f t="shared" si="18"/>
        <v>25987.5</v>
      </c>
      <c r="U64" s="33">
        <f t="shared" si="18"/>
        <v>30250</v>
      </c>
    </row>
    <row r="65" spans="1:22" ht="15.75" hidden="1" thickTop="1" x14ac:dyDescent="0.3">
      <c r="A65" s="126"/>
      <c r="B65" s="126"/>
      <c r="C65" s="126"/>
      <c r="D65" s="126"/>
      <c r="E65" s="126"/>
      <c r="G65" s="26"/>
      <c r="H65" s="24"/>
      <c r="I65" s="24"/>
      <c r="J65" s="24"/>
      <c r="K65" s="24"/>
      <c r="L65" s="24"/>
      <c r="M65" s="24"/>
      <c r="N65" s="24"/>
      <c r="O65" s="24"/>
      <c r="P65" s="24"/>
      <c r="Q65" s="24"/>
      <c r="R65" s="24"/>
      <c r="S65" s="24"/>
      <c r="T65" s="24"/>
      <c r="U65" s="34"/>
    </row>
    <row r="66" spans="1:22" ht="16.5" hidden="1" x14ac:dyDescent="0.3">
      <c r="A66" s="126"/>
      <c r="B66" s="199"/>
      <c r="C66" s="126"/>
      <c r="D66" s="126"/>
      <c r="E66"/>
      <c r="G66" s="27"/>
      <c r="H66" s="24"/>
      <c r="I66" s="24"/>
      <c r="J66" s="24"/>
      <c r="K66" s="24"/>
      <c r="L66" s="24"/>
      <c r="M66" s="24"/>
      <c r="N66" s="24"/>
      <c r="O66" s="24"/>
      <c r="P66" s="24"/>
      <c r="Q66" s="24"/>
      <c r="R66" s="24"/>
      <c r="S66" s="24"/>
      <c r="T66" s="24"/>
      <c r="U66" s="29"/>
    </row>
    <row r="67" spans="1:22" ht="16.5" hidden="1" x14ac:dyDescent="0.3">
      <c r="A67" s="126"/>
      <c r="B67" s="199"/>
      <c r="C67" s="126"/>
      <c r="D67" s="126"/>
      <c r="E67"/>
      <c r="G67" s="27"/>
      <c r="H67" s="24"/>
      <c r="I67" s="24"/>
      <c r="J67" s="24"/>
      <c r="K67" s="24"/>
      <c r="L67" s="24"/>
      <c r="M67" s="24"/>
      <c r="N67" s="24"/>
      <c r="O67" s="24"/>
      <c r="P67" s="24"/>
      <c r="Q67" s="24"/>
      <c r="R67" s="24"/>
      <c r="S67" s="24"/>
      <c r="T67" s="24"/>
      <c r="U67" s="29"/>
    </row>
    <row r="68" spans="1:22" ht="16.5" hidden="1" x14ac:dyDescent="0.3">
      <c r="A68" s="126"/>
      <c r="B68" s="199"/>
      <c r="C68" s="126"/>
      <c r="D68" s="126"/>
      <c r="E68"/>
      <c r="G68" s="27"/>
      <c r="H68" s="24"/>
      <c r="I68" s="24"/>
      <c r="J68" s="24"/>
      <c r="K68" s="24"/>
      <c r="L68" s="24"/>
      <c r="M68" s="24"/>
      <c r="N68" s="24"/>
      <c r="O68" s="24"/>
      <c r="P68" s="24"/>
      <c r="Q68" s="24"/>
      <c r="R68" s="24"/>
      <c r="S68" s="24"/>
      <c r="T68" s="24"/>
      <c r="U68" s="29"/>
    </row>
    <row r="69" spans="1:22" ht="16.5" hidden="1" x14ac:dyDescent="0.3">
      <c r="A69" s="126"/>
      <c r="B69" s="199"/>
      <c r="C69" s="126"/>
      <c r="D69" s="126"/>
      <c r="E69"/>
      <c r="G69" s="27"/>
      <c r="H69" s="24"/>
      <c r="I69" s="24"/>
      <c r="J69" s="24"/>
      <c r="K69" s="24"/>
      <c r="L69" s="24"/>
      <c r="M69" s="24"/>
      <c r="N69" s="24"/>
      <c r="O69" s="24"/>
      <c r="P69" s="24"/>
      <c r="Q69" s="24"/>
      <c r="R69" s="24"/>
      <c r="S69" s="24"/>
      <c r="T69" s="24"/>
      <c r="U69" s="29"/>
    </row>
    <row r="70" spans="1:22" ht="16.5" hidden="1" x14ac:dyDescent="0.3">
      <c r="A70" s="126"/>
      <c r="B70" s="199"/>
      <c r="C70" s="126"/>
      <c r="D70" s="126"/>
      <c r="E70"/>
      <c r="G70" s="27"/>
      <c r="H70" s="24"/>
      <c r="I70" s="24"/>
      <c r="J70" s="24"/>
      <c r="K70" s="24"/>
      <c r="L70" s="24"/>
      <c r="M70" s="24"/>
      <c r="N70" s="24"/>
      <c r="O70" s="24"/>
      <c r="P70" s="24"/>
      <c r="Q70" s="24"/>
      <c r="R70" s="24"/>
      <c r="S70" s="24"/>
      <c r="T70" s="24"/>
      <c r="U70" s="29"/>
    </row>
    <row r="71" spans="1:22" ht="16.5" hidden="1" x14ac:dyDescent="0.3">
      <c r="A71" s="126"/>
      <c r="B71" s="199"/>
      <c r="C71" s="126"/>
      <c r="D71" s="126"/>
      <c r="E71"/>
      <c r="F71" s="35"/>
      <c r="G71" s="36"/>
      <c r="H71" s="24"/>
      <c r="I71" s="28"/>
      <c r="J71" s="28"/>
      <c r="K71" s="28"/>
      <c r="L71" s="28"/>
      <c r="M71" s="28"/>
      <c r="N71" s="28"/>
      <c r="O71" s="28"/>
      <c r="P71" s="28"/>
      <c r="Q71" s="28"/>
      <c r="R71" s="28"/>
      <c r="S71" s="28"/>
      <c r="T71" s="28"/>
      <c r="U71" s="29"/>
    </row>
    <row r="72" spans="1:22" ht="15.75" hidden="1" thickBot="1" x14ac:dyDescent="0.35">
      <c r="A72" s="126"/>
      <c r="B72" s="126"/>
      <c r="C72" s="126"/>
      <c r="D72" s="126"/>
      <c r="E72" s="126"/>
      <c r="G72" s="30" t="s">
        <v>1</v>
      </c>
      <c r="H72" s="31"/>
      <c r="I72" s="32">
        <f>SUM(I66:I71)</f>
        <v>0</v>
      </c>
      <c r="J72" s="32">
        <f t="shared" ref="J72:T72" si="19">SUM(J66:J71)</f>
        <v>0</v>
      </c>
      <c r="K72" s="32">
        <f t="shared" si="19"/>
        <v>0</v>
      </c>
      <c r="L72" s="32">
        <f t="shared" si="19"/>
        <v>0</v>
      </c>
      <c r="M72" s="32">
        <f t="shared" si="19"/>
        <v>0</v>
      </c>
      <c r="N72" s="32">
        <f t="shared" si="19"/>
        <v>0</v>
      </c>
      <c r="O72" s="32">
        <f t="shared" si="19"/>
        <v>0</v>
      </c>
      <c r="P72" s="32">
        <f t="shared" si="19"/>
        <v>0</v>
      </c>
      <c r="Q72" s="32">
        <f t="shared" si="19"/>
        <v>0</v>
      </c>
      <c r="R72" s="32">
        <f t="shared" si="19"/>
        <v>0</v>
      </c>
      <c r="S72" s="32">
        <f t="shared" si="19"/>
        <v>0</v>
      </c>
      <c r="T72" s="32">
        <f t="shared" si="19"/>
        <v>0</v>
      </c>
      <c r="U72" s="33">
        <f>SUM(U66:U71)</f>
        <v>0</v>
      </c>
    </row>
    <row r="73" spans="1:22" ht="15.75" thickTop="1" x14ac:dyDescent="0.3">
      <c r="A73" s="126"/>
      <c r="B73" s="126"/>
      <c r="C73" s="126"/>
      <c r="D73" s="126"/>
      <c r="E73" s="126"/>
      <c r="G73" s="42"/>
      <c r="H73" s="37"/>
      <c r="I73" s="37"/>
      <c r="J73" s="37"/>
      <c r="K73" s="37"/>
      <c r="L73" s="37"/>
      <c r="M73" s="37"/>
      <c r="N73" s="37"/>
      <c r="O73" s="37"/>
      <c r="P73" s="37"/>
      <c r="Q73" s="37"/>
      <c r="R73" s="37"/>
      <c r="S73" s="37"/>
      <c r="T73" s="37"/>
      <c r="U73" s="43"/>
    </row>
    <row r="74" spans="1:22" ht="15.75" thickBot="1" x14ac:dyDescent="0.35">
      <c r="A74" s="126"/>
      <c r="B74" s="126"/>
      <c r="C74" s="126"/>
      <c r="D74" s="126"/>
      <c r="E74" s="126"/>
      <c r="G74" s="134" t="s">
        <v>113</v>
      </c>
      <c r="H74" s="135"/>
      <c r="I74" s="136">
        <f t="shared" ref="I74:T74" si="20">I26+I32+I41+I51+I64+I72</f>
        <v>47502.083333333336</v>
      </c>
      <c r="J74" s="136">
        <f t="shared" si="20"/>
        <v>55202.083333333336</v>
      </c>
      <c r="K74" s="136">
        <f t="shared" si="20"/>
        <v>90652.083333333343</v>
      </c>
      <c r="L74" s="136">
        <f t="shared" si="20"/>
        <v>91752.083333333343</v>
      </c>
      <c r="M74" s="136">
        <f t="shared" si="20"/>
        <v>86802.083333333343</v>
      </c>
      <c r="N74" s="136">
        <f t="shared" si="20"/>
        <v>95602.083333333343</v>
      </c>
      <c r="O74" s="136">
        <f t="shared" si="20"/>
        <v>73052.083333333343</v>
      </c>
      <c r="P74" s="136">
        <f t="shared" si="20"/>
        <v>68102.083333333343</v>
      </c>
      <c r="Q74" s="136">
        <f t="shared" si="20"/>
        <v>79102.083333333343</v>
      </c>
      <c r="R74" s="136">
        <f t="shared" si="20"/>
        <v>73602.083333333343</v>
      </c>
      <c r="S74" s="136">
        <f t="shared" si="20"/>
        <v>76352.083333333343</v>
      </c>
      <c r="T74" s="136">
        <f t="shared" si="20"/>
        <v>105502.08333333334</v>
      </c>
      <c r="U74" s="44">
        <f>SUM(I74:T74)</f>
        <v>943225.00000000035</v>
      </c>
      <c r="V74" s="236"/>
    </row>
    <row r="75" spans="1:22" ht="15.75" thickTop="1" x14ac:dyDescent="0.3">
      <c r="A75" s="126"/>
      <c r="B75" s="126"/>
      <c r="C75" s="126"/>
      <c r="D75" s="126"/>
      <c r="E75" s="126"/>
    </row>
    <row r="76" spans="1:22" ht="15.75" thickBot="1" x14ac:dyDescent="0.35">
      <c r="A76" s="126"/>
      <c r="B76" s="126"/>
      <c r="C76" s="126"/>
      <c r="D76" s="126"/>
      <c r="E76" s="126"/>
      <c r="G76" s="134" t="s">
        <v>590</v>
      </c>
      <c r="H76" s="135"/>
      <c r="I76" s="136">
        <f t="shared" ref="I76:T76" si="21">I15-I74</f>
        <v>36097.916666666664</v>
      </c>
      <c r="J76" s="136">
        <f t="shared" si="21"/>
        <v>24797.916666666664</v>
      </c>
      <c r="K76" s="136">
        <f t="shared" si="21"/>
        <v>-10652.083333333343</v>
      </c>
      <c r="L76" s="136">
        <f t="shared" si="21"/>
        <v>-11752.083333333343</v>
      </c>
      <c r="M76" s="136">
        <f t="shared" si="21"/>
        <v>-6802.083333333343</v>
      </c>
      <c r="N76" s="136">
        <f t="shared" si="21"/>
        <v>-15602.083333333343</v>
      </c>
      <c r="O76" s="136">
        <f t="shared" si="21"/>
        <v>6947.916666666657</v>
      </c>
      <c r="P76" s="136">
        <f t="shared" si="21"/>
        <v>11897.916666666657</v>
      </c>
      <c r="Q76" s="136">
        <f t="shared" si="21"/>
        <v>897.91666666665697</v>
      </c>
      <c r="R76" s="136">
        <f t="shared" si="21"/>
        <v>6397.916666666657</v>
      </c>
      <c r="S76" s="136">
        <f t="shared" si="21"/>
        <v>3647.916666666657</v>
      </c>
      <c r="T76" s="136">
        <f t="shared" si="21"/>
        <v>-25502.083333333343</v>
      </c>
      <c r="U76" s="44">
        <f>SUM(I76:T76)</f>
        <v>20374.999999999898</v>
      </c>
      <c r="V76" s="236"/>
    </row>
    <row r="77" spans="1:22" ht="15.75" thickTop="1" x14ac:dyDescent="0.3">
      <c r="A77" s="126"/>
      <c r="B77" s="126"/>
      <c r="C77" s="126"/>
      <c r="D77" s="126"/>
      <c r="E77" s="126"/>
    </row>
    <row r="78" spans="1:22" x14ac:dyDescent="0.3">
      <c r="A78" s="126"/>
      <c r="B78" s="126"/>
      <c r="C78" s="126"/>
      <c r="D78" s="126"/>
      <c r="E78" s="126"/>
    </row>
    <row r="79" spans="1:22" x14ac:dyDescent="0.3">
      <c r="A79" s="126"/>
      <c r="B79" s="126"/>
      <c r="C79" s="126"/>
      <c r="D79" s="126"/>
      <c r="E79" s="126"/>
    </row>
    <row r="80" spans="1:22" x14ac:dyDescent="0.3">
      <c r="A80" s="126"/>
      <c r="B80" s="126"/>
      <c r="C80" s="126"/>
      <c r="D80" s="126"/>
      <c r="E80" s="126"/>
    </row>
    <row r="81" spans="1:21" x14ac:dyDescent="0.3">
      <c r="A81" s="126"/>
      <c r="B81" s="126"/>
      <c r="C81" s="126"/>
      <c r="D81" s="126"/>
      <c r="E81" s="126"/>
    </row>
    <row r="82" spans="1:21" x14ac:dyDescent="0.3">
      <c r="A82" s="126"/>
      <c r="B82" s="126"/>
      <c r="C82" s="126"/>
      <c r="D82" s="126"/>
      <c r="E82" s="126"/>
    </row>
    <row r="83" spans="1:21" hidden="1" x14ac:dyDescent="0.3">
      <c r="A83" s="126"/>
      <c r="B83" s="126"/>
      <c r="C83" s="126"/>
      <c r="D83" s="126"/>
      <c r="E83" s="126"/>
    </row>
    <row r="84" spans="1:21" hidden="1" x14ac:dyDescent="0.3">
      <c r="A84" s="126"/>
      <c r="B84" s="126"/>
      <c r="C84" s="126"/>
      <c r="D84" s="126"/>
      <c r="E84" s="126"/>
    </row>
    <row r="85" spans="1:21" hidden="1" x14ac:dyDescent="0.3">
      <c r="A85" s="126"/>
      <c r="B85" s="126"/>
      <c r="C85" s="126"/>
      <c r="D85" s="126"/>
      <c r="E85" s="126"/>
    </row>
    <row r="86" spans="1:21" hidden="1" x14ac:dyDescent="0.3">
      <c r="A86" s="126"/>
      <c r="B86" s="126"/>
      <c r="C86" s="126"/>
      <c r="D86" s="126"/>
      <c r="E86" s="126"/>
      <c r="F86" s="143"/>
      <c r="G86" s="139" t="s">
        <v>50</v>
      </c>
      <c r="H86" s="140"/>
      <c r="I86" s="141">
        <v>43831</v>
      </c>
      <c r="J86" s="141">
        <v>43862</v>
      </c>
      <c r="K86" s="141">
        <v>43891</v>
      </c>
      <c r="L86" s="141">
        <v>43922</v>
      </c>
      <c r="M86" s="141">
        <v>43952</v>
      </c>
      <c r="N86" s="141">
        <v>43983</v>
      </c>
      <c r="O86" s="141">
        <v>44013</v>
      </c>
      <c r="P86" s="141">
        <v>44044</v>
      </c>
      <c r="Q86" s="141">
        <v>44075</v>
      </c>
      <c r="R86" s="141">
        <v>44105</v>
      </c>
      <c r="S86" s="141">
        <v>44136</v>
      </c>
      <c r="T86" s="142">
        <v>44166</v>
      </c>
      <c r="U86" s="144" t="s">
        <v>1</v>
      </c>
    </row>
    <row r="87" spans="1:21" hidden="1" x14ac:dyDescent="0.3">
      <c r="A87" s="126"/>
      <c r="B87" s="126"/>
      <c r="C87" s="126"/>
      <c r="D87" s="126"/>
      <c r="E87" s="126"/>
      <c r="F87" s="122"/>
      <c r="G87" s="123"/>
      <c r="H87" s="124"/>
      <c r="I87" s="125"/>
      <c r="J87" s="125"/>
      <c r="K87" s="125"/>
      <c r="L87" s="125"/>
      <c r="M87" s="125"/>
      <c r="N87" s="125"/>
      <c r="O87" s="125"/>
      <c r="P87" s="125"/>
      <c r="Q87" s="125"/>
      <c r="R87" s="125"/>
      <c r="S87" s="125"/>
      <c r="T87" s="125"/>
      <c r="U87" s="132"/>
    </row>
    <row r="88" spans="1:21" hidden="1" x14ac:dyDescent="0.3">
      <c r="A88" s="126"/>
      <c r="B88" s="126"/>
      <c r="C88" s="126"/>
      <c r="D88" s="126"/>
      <c r="E88" s="126"/>
      <c r="F88" s="122"/>
      <c r="G88" s="26" t="s">
        <v>114</v>
      </c>
      <c r="H88" s="124"/>
      <c r="I88" s="125"/>
      <c r="J88" s="125"/>
      <c r="K88" s="125"/>
      <c r="L88" s="125"/>
      <c r="M88" s="125"/>
      <c r="N88" s="125"/>
      <c r="O88" s="125"/>
      <c r="P88" s="125"/>
      <c r="Q88" s="125"/>
      <c r="R88" s="125"/>
      <c r="S88" s="125"/>
      <c r="T88" s="125"/>
      <c r="U88" s="132"/>
    </row>
    <row r="89" spans="1:21" hidden="1" x14ac:dyDescent="0.3">
      <c r="A89" s="126"/>
      <c r="B89" s="126"/>
      <c r="C89" s="126"/>
      <c r="D89" s="126"/>
      <c r="E89" s="126"/>
      <c r="F89" s="126"/>
      <c r="G89" s="133" t="s">
        <v>101</v>
      </c>
      <c r="H89" s="127"/>
      <c r="I89" s="128"/>
      <c r="J89" s="128"/>
      <c r="K89" s="128"/>
      <c r="L89" s="128"/>
      <c r="M89" s="128"/>
      <c r="N89" s="128"/>
      <c r="O89" s="128"/>
      <c r="P89" s="128"/>
      <c r="Q89" s="128"/>
      <c r="R89" s="128"/>
      <c r="S89" s="128"/>
      <c r="T89" s="128"/>
      <c r="U89" s="132"/>
    </row>
    <row r="90" spans="1:21" hidden="1" x14ac:dyDescent="0.3">
      <c r="A90" s="126"/>
      <c r="B90" s="126"/>
      <c r="C90" s="126"/>
      <c r="D90" s="126"/>
      <c r="E90" s="126"/>
      <c r="F90" s="126"/>
      <c r="G90" s="133" t="s">
        <v>53</v>
      </c>
      <c r="H90" s="127"/>
      <c r="I90" s="128"/>
      <c r="J90" s="128"/>
      <c r="K90" s="128"/>
      <c r="L90" s="128"/>
      <c r="M90" s="128"/>
      <c r="N90" s="128"/>
      <c r="O90" s="128"/>
      <c r="P90" s="128"/>
      <c r="Q90" s="128"/>
      <c r="R90" s="128"/>
      <c r="S90" s="128"/>
      <c r="T90" s="128"/>
      <c r="U90" s="132"/>
    </row>
    <row r="91" spans="1:21" hidden="1" x14ac:dyDescent="0.3">
      <c r="A91" s="126"/>
      <c r="B91" s="126"/>
      <c r="C91" s="126"/>
      <c r="D91" s="126"/>
      <c r="E91" s="126"/>
      <c r="F91" s="126"/>
      <c r="G91" s="133" t="s">
        <v>115</v>
      </c>
      <c r="H91" s="127"/>
      <c r="I91" s="128"/>
      <c r="J91" s="128"/>
      <c r="K91" s="128"/>
      <c r="L91" s="128"/>
      <c r="M91" s="128"/>
      <c r="N91" s="128"/>
      <c r="O91" s="128"/>
      <c r="P91" s="128"/>
      <c r="Q91" s="128"/>
      <c r="R91" s="128"/>
      <c r="S91" s="128"/>
      <c r="T91" s="128"/>
      <c r="U91" s="132"/>
    </row>
    <row r="92" spans="1:21" hidden="1" x14ac:dyDescent="0.3">
      <c r="A92" s="126"/>
      <c r="B92" s="126"/>
      <c r="C92" s="126"/>
      <c r="D92" s="126"/>
      <c r="E92" s="126"/>
      <c r="F92" s="129"/>
      <c r="G92" s="133" t="s">
        <v>102</v>
      </c>
      <c r="H92" s="131"/>
      <c r="I92" s="131"/>
      <c r="J92" s="131"/>
      <c r="K92" s="131"/>
      <c r="L92" s="131"/>
      <c r="M92" s="131"/>
      <c r="N92" s="131"/>
      <c r="O92" s="131"/>
      <c r="P92" s="131"/>
      <c r="Q92" s="131"/>
      <c r="R92" s="131"/>
      <c r="S92" s="131"/>
      <c r="T92" s="131"/>
      <c r="U92" s="132"/>
    </row>
    <row r="93" spans="1:21" hidden="1" x14ac:dyDescent="0.3">
      <c r="A93" s="126"/>
      <c r="B93" s="126"/>
      <c r="C93" s="126"/>
      <c r="D93" s="126"/>
      <c r="E93" s="126"/>
      <c r="F93" s="129"/>
      <c r="G93" s="133" t="s">
        <v>116</v>
      </c>
      <c r="H93" s="131"/>
      <c r="I93" s="131"/>
      <c r="J93" s="131"/>
      <c r="K93" s="131"/>
      <c r="L93" s="131"/>
      <c r="M93" s="131"/>
      <c r="N93" s="131"/>
      <c r="O93" s="131"/>
      <c r="P93" s="131"/>
      <c r="Q93" s="131"/>
      <c r="R93" s="131"/>
      <c r="S93" s="131"/>
      <c r="T93" s="131"/>
      <c r="U93" s="132"/>
    </row>
    <row r="94" spans="1:21" ht="15.75" hidden="1" thickBot="1" x14ac:dyDescent="0.35">
      <c r="A94" s="126"/>
      <c r="B94" s="126"/>
      <c r="C94" s="126"/>
      <c r="D94" s="126"/>
      <c r="E94" s="126"/>
      <c r="F94" s="129"/>
      <c r="G94" s="30" t="s">
        <v>1</v>
      </c>
      <c r="H94" s="31"/>
      <c r="I94" s="32">
        <f t="shared" ref="I94:U94" si="22">SUM(I89:I93)</f>
        <v>0</v>
      </c>
      <c r="J94" s="32">
        <f t="shared" si="22"/>
        <v>0</v>
      </c>
      <c r="K94" s="32">
        <f t="shared" si="22"/>
        <v>0</v>
      </c>
      <c r="L94" s="32">
        <f t="shared" si="22"/>
        <v>0</v>
      </c>
      <c r="M94" s="32">
        <f t="shared" si="22"/>
        <v>0</v>
      </c>
      <c r="N94" s="32">
        <f t="shared" si="22"/>
        <v>0</v>
      </c>
      <c r="O94" s="32">
        <f t="shared" si="22"/>
        <v>0</v>
      </c>
      <c r="P94" s="32">
        <f t="shared" si="22"/>
        <v>0</v>
      </c>
      <c r="Q94" s="32">
        <f t="shared" si="22"/>
        <v>0</v>
      </c>
      <c r="R94" s="32">
        <f t="shared" si="22"/>
        <v>0</v>
      </c>
      <c r="S94" s="32">
        <f t="shared" si="22"/>
        <v>0</v>
      </c>
      <c r="T94" s="32">
        <f t="shared" si="22"/>
        <v>0</v>
      </c>
      <c r="U94" s="33">
        <f t="shared" si="22"/>
        <v>0</v>
      </c>
    </row>
    <row r="95" spans="1:21" hidden="1" x14ac:dyDescent="0.3">
      <c r="A95" s="126"/>
      <c r="B95" s="126"/>
      <c r="C95" s="126"/>
      <c r="D95" s="126"/>
      <c r="E95" s="126"/>
      <c r="F95" s="129"/>
      <c r="G95" s="130"/>
      <c r="H95" s="131"/>
      <c r="I95" s="131"/>
      <c r="J95" s="131"/>
      <c r="K95" s="131"/>
      <c r="L95" s="131"/>
      <c r="M95" s="131"/>
      <c r="N95" s="131"/>
      <c r="O95" s="131"/>
      <c r="P95" s="131"/>
      <c r="Q95" s="131"/>
      <c r="R95" s="131"/>
      <c r="S95" s="131"/>
      <c r="T95" s="131"/>
      <c r="U95" s="132"/>
    </row>
    <row r="96" spans="1:21" hidden="1" x14ac:dyDescent="0.3">
      <c r="A96" s="126"/>
      <c r="B96" s="126"/>
      <c r="C96" s="126"/>
      <c r="D96" s="126"/>
      <c r="E96" s="126"/>
      <c r="G96" s="26" t="s">
        <v>36</v>
      </c>
      <c r="H96" s="24"/>
      <c r="I96" s="24"/>
      <c r="J96" s="24"/>
      <c r="K96" s="24"/>
      <c r="L96" s="24"/>
      <c r="M96" s="24"/>
      <c r="N96" s="24"/>
      <c r="O96" s="24"/>
      <c r="P96" s="24"/>
      <c r="Q96" s="24"/>
      <c r="R96" s="24"/>
      <c r="S96" s="24"/>
      <c r="T96" s="24"/>
      <c r="U96" s="25"/>
    </row>
    <row r="97" spans="1:21" hidden="1" x14ac:dyDescent="0.3">
      <c r="A97" s="126"/>
      <c r="B97" s="126"/>
      <c r="C97" s="126"/>
      <c r="D97" s="126"/>
      <c r="E97" s="126"/>
      <c r="G97" s="27" t="s">
        <v>37</v>
      </c>
      <c r="H97" s="24"/>
      <c r="I97" s="28">
        <f>200000/12</f>
        <v>16666.666666666668</v>
      </c>
      <c r="J97" s="28">
        <f t="shared" ref="J97:T97" si="23">200000/12</f>
        <v>16666.666666666668</v>
      </c>
      <c r="K97" s="28">
        <f t="shared" si="23"/>
        <v>16666.666666666668</v>
      </c>
      <c r="L97" s="28">
        <f t="shared" si="23"/>
        <v>16666.666666666668</v>
      </c>
      <c r="M97" s="28">
        <f t="shared" si="23"/>
        <v>16666.666666666668</v>
      </c>
      <c r="N97" s="28">
        <f t="shared" si="23"/>
        <v>16666.666666666668</v>
      </c>
      <c r="O97" s="28">
        <f t="shared" si="23"/>
        <v>16666.666666666668</v>
      </c>
      <c r="P97" s="28">
        <f t="shared" si="23"/>
        <v>16666.666666666668</v>
      </c>
      <c r="Q97" s="28">
        <f t="shared" si="23"/>
        <v>16666.666666666668</v>
      </c>
      <c r="R97" s="28">
        <f t="shared" si="23"/>
        <v>16666.666666666668</v>
      </c>
      <c r="S97" s="28">
        <f t="shared" si="23"/>
        <v>16666.666666666668</v>
      </c>
      <c r="T97" s="28">
        <f t="shared" si="23"/>
        <v>16666.666666666668</v>
      </c>
      <c r="U97" s="29">
        <f>SUM(I97:T97)</f>
        <v>199999.99999999997</v>
      </c>
    </row>
    <row r="98" spans="1:21" hidden="1" x14ac:dyDescent="0.3">
      <c r="A98" s="126"/>
      <c r="B98" s="126"/>
      <c r="C98" s="126"/>
      <c r="D98" s="126"/>
      <c r="E98" s="126"/>
      <c r="G98" s="27" t="s">
        <v>39</v>
      </c>
      <c r="H98" s="24"/>
      <c r="I98" s="28">
        <f>10000</f>
        <v>10000</v>
      </c>
      <c r="J98" s="28">
        <f>10000</f>
        <v>10000</v>
      </c>
      <c r="K98" s="28">
        <f>10000</f>
        <v>10000</v>
      </c>
      <c r="L98" s="28">
        <f>10000</f>
        <v>10000</v>
      </c>
      <c r="M98" s="28">
        <f>10000</f>
        <v>10000</v>
      </c>
      <c r="N98" s="28">
        <f>10000</f>
        <v>10000</v>
      </c>
      <c r="O98" s="28">
        <f>10000</f>
        <v>10000</v>
      </c>
      <c r="P98" s="28">
        <f>10000</f>
        <v>10000</v>
      </c>
      <c r="Q98" s="28">
        <f>10000</f>
        <v>10000</v>
      </c>
      <c r="R98" s="28">
        <f>10000</f>
        <v>10000</v>
      </c>
      <c r="S98" s="28">
        <f>10000</f>
        <v>10000</v>
      </c>
      <c r="T98" s="28">
        <f>10000</f>
        <v>10000</v>
      </c>
      <c r="U98" s="29">
        <f>SUM(I98:T98)</f>
        <v>120000</v>
      </c>
    </row>
    <row r="99" spans="1:21" hidden="1" x14ac:dyDescent="0.3">
      <c r="A99" s="126"/>
      <c r="B99" s="126"/>
      <c r="C99" s="126"/>
      <c r="D99" s="126"/>
      <c r="E99" s="126"/>
      <c r="G99" s="27" t="s">
        <v>38</v>
      </c>
      <c r="H99" s="24"/>
      <c r="I99" s="28">
        <f>20*65*4</f>
        <v>5200</v>
      </c>
      <c r="J99" s="28">
        <f t="shared" ref="J99:T99" si="24">20*65*4</f>
        <v>5200</v>
      </c>
      <c r="K99" s="28">
        <f t="shared" si="24"/>
        <v>5200</v>
      </c>
      <c r="L99" s="28">
        <f t="shared" si="24"/>
        <v>5200</v>
      </c>
      <c r="M99" s="28">
        <f t="shared" si="24"/>
        <v>5200</v>
      </c>
      <c r="N99" s="28">
        <f t="shared" si="24"/>
        <v>5200</v>
      </c>
      <c r="O99" s="28">
        <f t="shared" si="24"/>
        <v>5200</v>
      </c>
      <c r="P99" s="28">
        <f t="shared" si="24"/>
        <v>5200</v>
      </c>
      <c r="Q99" s="28">
        <f t="shared" si="24"/>
        <v>5200</v>
      </c>
      <c r="R99" s="28">
        <f t="shared" si="24"/>
        <v>5200</v>
      </c>
      <c r="S99" s="28">
        <f t="shared" si="24"/>
        <v>5200</v>
      </c>
      <c r="T99" s="28">
        <f t="shared" si="24"/>
        <v>5200</v>
      </c>
      <c r="U99" s="29">
        <f>SUM(I99:T99)</f>
        <v>62400</v>
      </c>
    </row>
    <row r="100" spans="1:21" hidden="1" x14ac:dyDescent="0.3">
      <c r="A100" s="126"/>
      <c r="B100" s="126"/>
      <c r="C100" s="126"/>
      <c r="D100" s="126"/>
      <c r="E100" s="126"/>
      <c r="G100" s="27" t="s">
        <v>59</v>
      </c>
      <c r="H100" s="24"/>
      <c r="I100" s="28"/>
      <c r="J100" s="28"/>
      <c r="K100" s="28"/>
      <c r="L100" s="28"/>
      <c r="M100" s="28"/>
      <c r="N100" s="28"/>
      <c r="O100" s="28"/>
      <c r="P100" s="28"/>
      <c r="Q100" s="28"/>
      <c r="R100" s="28"/>
      <c r="S100" s="28"/>
      <c r="T100" s="28"/>
      <c r="U100" s="29">
        <f>SUM(I100:T100)</f>
        <v>0</v>
      </c>
    </row>
    <row r="101" spans="1:21" ht="15.75" hidden="1" thickBot="1" x14ac:dyDescent="0.35">
      <c r="A101" s="126"/>
      <c r="B101" s="126"/>
      <c r="C101" s="126"/>
      <c r="D101" s="126"/>
      <c r="E101" s="126"/>
      <c r="G101" s="30" t="s">
        <v>1</v>
      </c>
      <c r="H101" s="31"/>
      <c r="I101" s="32">
        <f>SUM(I97:I100)</f>
        <v>31866.666666666668</v>
      </c>
      <c r="J101" s="32">
        <f t="shared" ref="J101:U101" si="25">SUM(J97:J100)</f>
        <v>31866.666666666668</v>
      </c>
      <c r="K101" s="32">
        <f t="shared" si="25"/>
        <v>31866.666666666668</v>
      </c>
      <c r="L101" s="32">
        <f t="shared" si="25"/>
        <v>31866.666666666668</v>
      </c>
      <c r="M101" s="32">
        <f t="shared" si="25"/>
        <v>31866.666666666668</v>
      </c>
      <c r="N101" s="32">
        <f t="shared" si="25"/>
        <v>31866.666666666668</v>
      </c>
      <c r="O101" s="32">
        <f t="shared" si="25"/>
        <v>31866.666666666668</v>
      </c>
      <c r="P101" s="32">
        <f t="shared" si="25"/>
        <v>31866.666666666668</v>
      </c>
      <c r="Q101" s="32">
        <f t="shared" si="25"/>
        <v>31866.666666666668</v>
      </c>
      <c r="R101" s="32">
        <f t="shared" si="25"/>
        <v>31866.666666666668</v>
      </c>
      <c r="S101" s="32">
        <f t="shared" si="25"/>
        <v>31866.666666666668</v>
      </c>
      <c r="T101" s="32">
        <f t="shared" si="25"/>
        <v>31866.666666666668</v>
      </c>
      <c r="U101" s="33">
        <f t="shared" si="25"/>
        <v>382400</v>
      </c>
    </row>
    <row r="102" spans="1:21" hidden="1" x14ac:dyDescent="0.3">
      <c r="A102" s="126"/>
      <c r="B102" s="126"/>
      <c r="C102" s="126"/>
      <c r="D102" s="126"/>
      <c r="E102" s="126"/>
      <c r="G102" s="26" t="s">
        <v>31</v>
      </c>
      <c r="H102" s="24"/>
      <c r="I102" s="24"/>
      <c r="J102" s="24"/>
      <c r="K102" s="24"/>
      <c r="L102" s="24"/>
      <c r="M102" s="24"/>
      <c r="N102" s="24"/>
      <c r="O102" s="24"/>
      <c r="P102" s="24"/>
      <c r="Q102" s="24"/>
      <c r="R102" s="24"/>
      <c r="S102" s="24"/>
      <c r="T102" s="24"/>
      <c r="U102" s="34"/>
    </row>
    <row r="103" spans="1:21" hidden="1" x14ac:dyDescent="0.3">
      <c r="A103" s="126"/>
      <c r="B103" s="126"/>
      <c r="C103" s="126"/>
      <c r="D103" s="126"/>
      <c r="E103" s="126"/>
      <c r="G103" s="27" t="s">
        <v>40</v>
      </c>
      <c r="H103" s="24"/>
      <c r="I103" s="28"/>
      <c r="J103" s="28"/>
      <c r="K103" s="28">
        <v>300</v>
      </c>
      <c r="L103" s="28"/>
      <c r="M103" s="28"/>
      <c r="N103" s="28">
        <v>300</v>
      </c>
      <c r="O103" s="28"/>
      <c r="P103" s="28">
        <v>10000</v>
      </c>
      <c r="Q103" s="28">
        <v>300</v>
      </c>
      <c r="R103" s="28"/>
      <c r="S103" s="28"/>
      <c r="T103" s="28">
        <v>300</v>
      </c>
      <c r="U103" s="29">
        <f>SUM(I103:T103)</f>
        <v>11200</v>
      </c>
    </row>
    <row r="104" spans="1:21" hidden="1" x14ac:dyDescent="0.3">
      <c r="A104" s="126"/>
      <c r="B104" s="126"/>
      <c r="C104" s="126"/>
      <c r="D104" s="126"/>
      <c r="E104" s="126"/>
      <c r="G104" s="27" t="s">
        <v>48</v>
      </c>
      <c r="H104" s="24"/>
      <c r="I104" s="28"/>
      <c r="J104" s="28"/>
      <c r="K104" s="28"/>
      <c r="L104" s="28"/>
      <c r="M104" s="28"/>
      <c r="N104" s="28"/>
      <c r="O104" s="28"/>
      <c r="P104" s="28"/>
      <c r="Q104" s="28"/>
      <c r="R104" s="28"/>
      <c r="S104" s="28"/>
      <c r="T104" s="28">
        <v>2000</v>
      </c>
      <c r="U104" s="29">
        <f>SUM(I104:T104)</f>
        <v>2000</v>
      </c>
    </row>
    <row r="105" spans="1:21" hidden="1" x14ac:dyDescent="0.3">
      <c r="A105" s="126"/>
      <c r="B105" s="126"/>
      <c r="C105" s="126"/>
      <c r="D105" s="126"/>
      <c r="E105" s="126"/>
      <c r="G105" s="27" t="s">
        <v>49</v>
      </c>
      <c r="H105" s="24"/>
      <c r="I105" s="28"/>
      <c r="J105" s="28"/>
      <c r="K105" s="28"/>
      <c r="L105" s="28"/>
      <c r="M105" s="28"/>
      <c r="N105" s="28"/>
      <c r="O105" s="28"/>
      <c r="P105" s="28"/>
      <c r="Q105" s="28"/>
      <c r="R105" s="28"/>
      <c r="S105" s="28"/>
      <c r="T105" s="28"/>
      <c r="U105" s="29">
        <f>SUM(I105:T105)</f>
        <v>0</v>
      </c>
    </row>
    <row r="106" spans="1:21" hidden="1" x14ac:dyDescent="0.3">
      <c r="A106" s="126"/>
      <c r="B106" s="126"/>
      <c r="C106" s="126"/>
      <c r="D106" s="126"/>
      <c r="E106" s="126"/>
      <c r="F106" s="35">
        <v>0.1</v>
      </c>
      <c r="G106" s="36" t="str">
        <f>"Contigency"&amp;" "&amp;"at"&amp;" "&amp;(F106*100)&amp;"%"</f>
        <v>Contigency at 10%</v>
      </c>
      <c r="H106" s="37"/>
      <c r="I106" s="38">
        <f>SUM(I103:I105)*$F$31</f>
        <v>0</v>
      </c>
      <c r="J106" s="38">
        <f>SUM(J103:J105)*$F$31</f>
        <v>0</v>
      </c>
      <c r="K106" s="38">
        <f t="shared" ref="K106:T106" si="26">SUM(K103:K105)*$F$31</f>
        <v>30</v>
      </c>
      <c r="L106" s="38">
        <f t="shared" si="26"/>
        <v>0</v>
      </c>
      <c r="M106" s="38">
        <f t="shared" si="26"/>
        <v>0</v>
      </c>
      <c r="N106" s="38">
        <f t="shared" si="26"/>
        <v>30</v>
      </c>
      <c r="O106" s="38">
        <f t="shared" si="26"/>
        <v>0</v>
      </c>
      <c r="P106" s="38">
        <f t="shared" si="26"/>
        <v>1000</v>
      </c>
      <c r="Q106" s="38">
        <f t="shared" si="26"/>
        <v>30</v>
      </c>
      <c r="R106" s="38">
        <f t="shared" si="26"/>
        <v>0</v>
      </c>
      <c r="S106" s="38">
        <f t="shared" si="26"/>
        <v>0</v>
      </c>
      <c r="T106" s="38">
        <f t="shared" si="26"/>
        <v>230</v>
      </c>
      <c r="U106" s="39">
        <f>SUM(I106:T106)</f>
        <v>1320</v>
      </c>
    </row>
    <row r="107" spans="1:21" ht="15.75" hidden="1" thickBot="1" x14ac:dyDescent="0.35">
      <c r="A107" s="126"/>
      <c r="B107" s="126"/>
      <c r="C107" s="126"/>
      <c r="D107" s="126"/>
      <c r="E107" s="126"/>
      <c r="G107" s="30" t="s">
        <v>1</v>
      </c>
      <c r="H107" s="31"/>
      <c r="I107" s="32">
        <f>SUM(I103:I106)</f>
        <v>0</v>
      </c>
      <c r="J107" s="32">
        <f t="shared" ref="J107:U107" si="27">SUM(J103:J106)</f>
        <v>0</v>
      </c>
      <c r="K107" s="32">
        <f t="shared" si="27"/>
        <v>330</v>
      </c>
      <c r="L107" s="32">
        <f t="shared" si="27"/>
        <v>0</v>
      </c>
      <c r="M107" s="32">
        <f t="shared" si="27"/>
        <v>0</v>
      </c>
      <c r="N107" s="32">
        <f t="shared" si="27"/>
        <v>330</v>
      </c>
      <c r="O107" s="32">
        <f t="shared" si="27"/>
        <v>0</v>
      </c>
      <c r="P107" s="32">
        <f t="shared" si="27"/>
        <v>11000</v>
      </c>
      <c r="Q107" s="32">
        <f t="shared" si="27"/>
        <v>330</v>
      </c>
      <c r="R107" s="32">
        <f t="shared" si="27"/>
        <v>0</v>
      </c>
      <c r="S107" s="32">
        <f t="shared" si="27"/>
        <v>0</v>
      </c>
      <c r="T107" s="32">
        <f t="shared" si="27"/>
        <v>2530</v>
      </c>
      <c r="U107" s="33">
        <f t="shared" si="27"/>
        <v>14520</v>
      </c>
    </row>
    <row r="108" spans="1:21" hidden="1" x14ac:dyDescent="0.3">
      <c r="A108" s="126"/>
      <c r="B108" s="126"/>
      <c r="C108" s="126"/>
      <c r="D108" s="126"/>
      <c r="E108" s="126"/>
      <c r="G108" s="26" t="s">
        <v>57</v>
      </c>
      <c r="H108" s="24"/>
      <c r="I108" s="24"/>
      <c r="J108" s="24"/>
      <c r="K108" s="24"/>
      <c r="L108" s="24"/>
      <c r="M108" s="24"/>
      <c r="N108" s="24"/>
      <c r="O108" s="24"/>
      <c r="P108" s="24"/>
      <c r="Q108" s="24"/>
      <c r="R108" s="24"/>
      <c r="S108" s="24"/>
      <c r="T108" s="24"/>
      <c r="U108" s="34"/>
    </row>
    <row r="109" spans="1:21" hidden="1" x14ac:dyDescent="0.3">
      <c r="A109" s="126"/>
      <c r="B109" s="126"/>
      <c r="C109" s="126"/>
      <c r="D109" s="126"/>
      <c r="E109" s="126"/>
      <c r="G109" s="27" t="s">
        <v>41</v>
      </c>
      <c r="H109" s="24"/>
      <c r="I109" s="28">
        <v>100</v>
      </c>
      <c r="J109" s="28">
        <v>100</v>
      </c>
      <c r="K109" s="28">
        <v>100</v>
      </c>
      <c r="L109" s="28">
        <v>100</v>
      </c>
      <c r="M109" s="28">
        <v>100</v>
      </c>
      <c r="N109" s="28">
        <v>100</v>
      </c>
      <c r="O109" s="28">
        <v>100</v>
      </c>
      <c r="P109" s="28">
        <v>100</v>
      </c>
      <c r="Q109" s="28">
        <v>100</v>
      </c>
      <c r="R109" s="28">
        <v>100</v>
      </c>
      <c r="S109" s="28">
        <v>100</v>
      </c>
      <c r="T109" s="28">
        <v>100</v>
      </c>
      <c r="U109" s="29">
        <f>SUM(I109:T109)</f>
        <v>1200</v>
      </c>
    </row>
    <row r="110" spans="1:21" hidden="1" x14ac:dyDescent="0.3">
      <c r="A110" s="126"/>
      <c r="B110" s="126"/>
      <c r="C110" s="126"/>
      <c r="D110" s="126"/>
      <c r="E110" s="126"/>
      <c r="G110" s="27" t="s">
        <v>202</v>
      </c>
      <c r="H110" s="24"/>
      <c r="I110" s="28">
        <v>2000</v>
      </c>
      <c r="J110" s="28">
        <v>2000</v>
      </c>
      <c r="K110" s="28">
        <v>2000</v>
      </c>
      <c r="L110" s="28">
        <v>2000</v>
      </c>
      <c r="M110" s="28">
        <v>2000</v>
      </c>
      <c r="N110" s="28">
        <v>2000</v>
      </c>
      <c r="O110" s="28">
        <v>2000</v>
      </c>
      <c r="P110" s="28">
        <v>2000</v>
      </c>
      <c r="Q110" s="28">
        <v>2000</v>
      </c>
      <c r="R110" s="28">
        <v>2000</v>
      </c>
      <c r="S110" s="28">
        <v>2000</v>
      </c>
      <c r="T110" s="28">
        <v>2000</v>
      </c>
      <c r="U110" s="29">
        <f t="shared" ref="U110:U115" si="28">SUM(I110:T110)</f>
        <v>24000</v>
      </c>
    </row>
    <row r="111" spans="1:21" hidden="1" x14ac:dyDescent="0.3">
      <c r="A111" s="126"/>
      <c r="B111" s="126"/>
      <c r="C111" s="126"/>
      <c r="D111" s="126"/>
      <c r="E111" s="126"/>
      <c r="G111" s="27" t="s">
        <v>201</v>
      </c>
      <c r="H111" s="24"/>
      <c r="I111" s="28">
        <v>75</v>
      </c>
      <c r="J111" s="28">
        <v>75</v>
      </c>
      <c r="K111" s="28">
        <v>75</v>
      </c>
      <c r="L111" s="28">
        <v>75</v>
      </c>
      <c r="M111" s="28">
        <v>75</v>
      </c>
      <c r="N111" s="28">
        <v>75</v>
      </c>
      <c r="O111" s="28">
        <v>75</v>
      </c>
      <c r="P111" s="28">
        <v>75</v>
      </c>
      <c r="Q111" s="28">
        <v>75</v>
      </c>
      <c r="R111" s="28">
        <v>75</v>
      </c>
      <c r="S111" s="28">
        <v>75</v>
      </c>
      <c r="T111" s="28">
        <v>75</v>
      </c>
      <c r="U111" s="29">
        <f t="shared" si="28"/>
        <v>900</v>
      </c>
    </row>
    <row r="112" spans="1:21" hidden="1" x14ac:dyDescent="0.3">
      <c r="A112" s="126"/>
      <c r="B112" s="126"/>
      <c r="C112" s="126"/>
      <c r="D112" s="126"/>
      <c r="E112" s="126"/>
      <c r="G112" s="27" t="s">
        <v>203</v>
      </c>
      <c r="H112" s="24"/>
      <c r="I112" s="28">
        <v>250</v>
      </c>
      <c r="J112" s="28">
        <v>250</v>
      </c>
      <c r="K112" s="28">
        <v>250</v>
      </c>
      <c r="L112" s="28">
        <v>250</v>
      </c>
      <c r="M112" s="28">
        <v>250</v>
      </c>
      <c r="N112" s="28">
        <v>250</v>
      </c>
      <c r="O112" s="28">
        <v>250</v>
      </c>
      <c r="P112" s="28">
        <v>250</v>
      </c>
      <c r="Q112" s="28">
        <v>250</v>
      </c>
      <c r="R112" s="28">
        <v>250</v>
      </c>
      <c r="S112" s="28">
        <v>250</v>
      </c>
      <c r="T112" s="28">
        <v>250</v>
      </c>
      <c r="U112" s="29">
        <f t="shared" si="28"/>
        <v>3000</v>
      </c>
    </row>
    <row r="113" spans="1:21" hidden="1" x14ac:dyDescent="0.3">
      <c r="A113" s="126"/>
      <c r="B113" s="126"/>
      <c r="C113" s="126"/>
      <c r="D113" s="126"/>
      <c r="E113" s="126"/>
      <c r="G113" s="27" t="s">
        <v>45</v>
      </c>
      <c r="H113" s="24"/>
      <c r="I113" s="28">
        <v>200</v>
      </c>
      <c r="J113" s="28">
        <v>200</v>
      </c>
      <c r="K113" s="28">
        <v>200</v>
      </c>
      <c r="L113" s="28">
        <v>200</v>
      </c>
      <c r="M113" s="28">
        <v>200</v>
      </c>
      <c r="N113" s="28">
        <v>200</v>
      </c>
      <c r="O113" s="28">
        <v>200</v>
      </c>
      <c r="P113" s="28">
        <v>200</v>
      </c>
      <c r="Q113" s="28">
        <v>200</v>
      </c>
      <c r="R113" s="28">
        <v>200</v>
      </c>
      <c r="S113" s="28">
        <v>200</v>
      </c>
      <c r="T113" s="28">
        <v>200</v>
      </c>
      <c r="U113" s="29">
        <f t="shared" si="28"/>
        <v>2400</v>
      </c>
    </row>
    <row r="114" spans="1:21" hidden="1" x14ac:dyDescent="0.3">
      <c r="A114" s="126"/>
      <c r="B114" s="126"/>
      <c r="C114" s="126"/>
      <c r="D114" s="126"/>
      <c r="E114" s="126"/>
      <c r="G114" s="27" t="s">
        <v>46</v>
      </c>
      <c r="H114" s="24"/>
      <c r="I114" s="28">
        <v>100</v>
      </c>
      <c r="J114" s="28">
        <v>100</v>
      </c>
      <c r="K114" s="28">
        <v>100</v>
      </c>
      <c r="L114" s="28">
        <v>100</v>
      </c>
      <c r="M114" s="28">
        <v>100</v>
      </c>
      <c r="N114" s="28">
        <v>100</v>
      </c>
      <c r="O114" s="28">
        <v>100</v>
      </c>
      <c r="P114" s="28">
        <v>100</v>
      </c>
      <c r="Q114" s="28">
        <v>100</v>
      </c>
      <c r="R114" s="28">
        <v>100</v>
      </c>
      <c r="S114" s="28">
        <v>100</v>
      </c>
      <c r="T114" s="28">
        <v>100</v>
      </c>
      <c r="U114" s="29">
        <f t="shared" si="28"/>
        <v>1200</v>
      </c>
    </row>
    <row r="115" spans="1:21" hidden="1" x14ac:dyDescent="0.3">
      <c r="A115" s="126"/>
      <c r="B115" s="126"/>
      <c r="C115" s="126"/>
      <c r="D115" s="126"/>
      <c r="E115" s="126"/>
      <c r="F115" s="35">
        <v>0.25</v>
      </c>
      <c r="G115" s="36" t="str">
        <f>"Contigency"&amp;" "&amp;"at"&amp;" "&amp;(F115*100)&amp;"%"</f>
        <v>Contigency at 25%</v>
      </c>
      <c r="H115" s="37"/>
      <c r="I115" s="38">
        <f>SUM(I109:I114)*$F$40</f>
        <v>681.25</v>
      </c>
      <c r="J115" s="38">
        <f>SUM(J109:J114)*$F$40</f>
        <v>681.25</v>
      </c>
      <c r="K115" s="38">
        <f t="shared" ref="K115:T115" si="29">SUM(K109:K114)*$F$40</f>
        <v>681.25</v>
      </c>
      <c r="L115" s="38">
        <f t="shared" si="29"/>
        <v>681.25</v>
      </c>
      <c r="M115" s="38">
        <f t="shared" si="29"/>
        <v>681.25</v>
      </c>
      <c r="N115" s="38">
        <f t="shared" si="29"/>
        <v>681.25</v>
      </c>
      <c r="O115" s="38">
        <f t="shared" si="29"/>
        <v>681.25</v>
      </c>
      <c r="P115" s="38">
        <f t="shared" si="29"/>
        <v>681.25</v>
      </c>
      <c r="Q115" s="38">
        <f t="shared" si="29"/>
        <v>681.25</v>
      </c>
      <c r="R115" s="38">
        <f t="shared" si="29"/>
        <v>681.25</v>
      </c>
      <c r="S115" s="38">
        <f t="shared" si="29"/>
        <v>681.25</v>
      </c>
      <c r="T115" s="38">
        <f t="shared" si="29"/>
        <v>681.25</v>
      </c>
      <c r="U115" s="39">
        <f t="shared" si="28"/>
        <v>8175</v>
      </c>
    </row>
    <row r="116" spans="1:21" ht="15.75" hidden="1" thickBot="1" x14ac:dyDescent="0.35">
      <c r="A116" s="126"/>
      <c r="B116" s="126"/>
      <c r="C116" s="126"/>
      <c r="D116" s="126"/>
      <c r="E116" s="126"/>
      <c r="G116" s="30" t="s">
        <v>1</v>
      </c>
      <c r="H116" s="31"/>
      <c r="I116" s="32">
        <f>SUM(I109:I114)</f>
        <v>2725</v>
      </c>
      <c r="J116" s="32">
        <f t="shared" ref="J116:U116" si="30">SUM(J109:J114)</f>
        <v>2725</v>
      </c>
      <c r="K116" s="32">
        <f t="shared" si="30"/>
        <v>2725</v>
      </c>
      <c r="L116" s="32">
        <f t="shared" si="30"/>
        <v>2725</v>
      </c>
      <c r="M116" s="32">
        <f t="shared" si="30"/>
        <v>2725</v>
      </c>
      <c r="N116" s="32">
        <f t="shared" si="30"/>
        <v>2725</v>
      </c>
      <c r="O116" s="32">
        <f t="shared" si="30"/>
        <v>2725</v>
      </c>
      <c r="P116" s="32">
        <f t="shared" si="30"/>
        <v>2725</v>
      </c>
      <c r="Q116" s="32">
        <f t="shared" si="30"/>
        <v>2725</v>
      </c>
      <c r="R116" s="32">
        <f t="shared" si="30"/>
        <v>2725</v>
      </c>
      <c r="S116" s="32">
        <f t="shared" si="30"/>
        <v>2725</v>
      </c>
      <c r="T116" s="32">
        <f t="shared" si="30"/>
        <v>2725</v>
      </c>
      <c r="U116" s="33">
        <f t="shared" si="30"/>
        <v>32700</v>
      </c>
    </row>
    <row r="117" spans="1:21" hidden="1" x14ac:dyDescent="0.3">
      <c r="A117" s="126"/>
      <c r="B117" s="126"/>
      <c r="C117" s="126"/>
      <c r="D117" s="126"/>
      <c r="E117" s="126"/>
      <c r="G117" s="26" t="s">
        <v>56</v>
      </c>
      <c r="H117" s="24"/>
      <c r="I117" s="28"/>
      <c r="J117" s="28"/>
      <c r="K117" s="28"/>
      <c r="L117" s="28"/>
      <c r="M117" s="28"/>
      <c r="N117" s="28"/>
      <c r="O117" s="28"/>
      <c r="P117" s="28"/>
      <c r="Q117" s="28"/>
      <c r="R117" s="28"/>
      <c r="S117" s="28"/>
      <c r="T117" s="28"/>
      <c r="U117" s="34"/>
    </row>
    <row r="118" spans="1:21" hidden="1" x14ac:dyDescent="0.3">
      <c r="A118" s="126"/>
      <c r="B118" s="126"/>
      <c r="C118" s="126"/>
      <c r="D118" s="126"/>
      <c r="E118" s="126"/>
      <c r="G118" s="40" t="s">
        <v>52</v>
      </c>
      <c r="H118" s="24"/>
      <c r="I118" s="28"/>
      <c r="J118" s="28"/>
      <c r="K118" s="28"/>
      <c r="L118" s="28"/>
      <c r="M118" s="28"/>
      <c r="N118" s="28"/>
      <c r="O118" s="28"/>
      <c r="P118" s="28"/>
      <c r="Q118" s="28"/>
      <c r="R118" s="28"/>
      <c r="S118" s="28"/>
      <c r="T118" s="28"/>
      <c r="U118" s="41">
        <f>SUM(I118:T118)</f>
        <v>0</v>
      </c>
    </row>
    <row r="119" spans="1:21" hidden="1" x14ac:dyDescent="0.3">
      <c r="A119" s="126"/>
      <c r="B119" s="126"/>
      <c r="C119" s="126"/>
      <c r="D119" s="126"/>
      <c r="E119" s="126"/>
      <c r="G119" s="40" t="s">
        <v>46</v>
      </c>
      <c r="H119" s="24"/>
      <c r="I119" s="28"/>
      <c r="J119" s="28"/>
      <c r="K119" s="28"/>
      <c r="L119" s="28"/>
      <c r="M119" s="28"/>
      <c r="N119" s="28"/>
      <c r="O119" s="28"/>
      <c r="P119" s="28"/>
      <c r="Q119" s="28"/>
      <c r="R119" s="28"/>
      <c r="S119" s="28"/>
      <c r="T119" s="28"/>
      <c r="U119" s="41">
        <f>SUM(I119:T119)</f>
        <v>0</v>
      </c>
    </row>
    <row r="120" spans="1:21" hidden="1" x14ac:dyDescent="0.3">
      <c r="A120" s="126"/>
      <c r="B120" s="126"/>
      <c r="C120" s="126"/>
      <c r="D120" s="126"/>
      <c r="E120" s="126"/>
      <c r="F120" s="35">
        <v>0.1</v>
      </c>
      <c r="G120" s="36" t="str">
        <f>"Contigency"&amp;" "&amp;"at"&amp;" "&amp;(F120*100)&amp;"%"</f>
        <v>Contigency at 10%</v>
      </c>
      <c r="H120" s="24"/>
      <c r="I120" s="28">
        <f>SUM(I118:I119)*$F$50</f>
        <v>0</v>
      </c>
      <c r="J120" s="28">
        <f>SUM(J118:J119)*$F$50</f>
        <v>0</v>
      </c>
      <c r="K120" s="28">
        <f t="shared" ref="K120:T120" si="31">SUM(K118:K119)*$F$50</f>
        <v>0</v>
      </c>
      <c r="L120" s="28">
        <f t="shared" si="31"/>
        <v>0</v>
      </c>
      <c r="M120" s="28">
        <f t="shared" si="31"/>
        <v>0</v>
      </c>
      <c r="N120" s="28">
        <f t="shared" si="31"/>
        <v>0</v>
      </c>
      <c r="O120" s="28">
        <f t="shared" si="31"/>
        <v>0</v>
      </c>
      <c r="P120" s="28">
        <f t="shared" si="31"/>
        <v>0</v>
      </c>
      <c r="Q120" s="28">
        <f t="shared" si="31"/>
        <v>0</v>
      </c>
      <c r="R120" s="28">
        <f t="shared" si="31"/>
        <v>0</v>
      </c>
      <c r="S120" s="28">
        <f t="shared" si="31"/>
        <v>0</v>
      </c>
      <c r="T120" s="28">
        <f t="shared" si="31"/>
        <v>0</v>
      </c>
      <c r="U120" s="41">
        <f>SUM(I120:T120)</f>
        <v>0</v>
      </c>
    </row>
    <row r="121" spans="1:21" ht="15.75" hidden="1" thickBot="1" x14ac:dyDescent="0.35">
      <c r="A121" s="126"/>
      <c r="B121" s="126"/>
      <c r="C121" s="126"/>
      <c r="D121" s="126"/>
      <c r="E121" s="126"/>
      <c r="G121" s="30" t="s">
        <v>1</v>
      </c>
      <c r="H121" s="31"/>
      <c r="I121" s="32">
        <f>SUM(I118:I120)</f>
        <v>0</v>
      </c>
      <c r="J121" s="32">
        <f t="shared" ref="J121:T121" si="32">SUM(J118:J120)</f>
        <v>0</v>
      </c>
      <c r="K121" s="32">
        <f t="shared" si="32"/>
        <v>0</v>
      </c>
      <c r="L121" s="32">
        <f t="shared" si="32"/>
        <v>0</v>
      </c>
      <c r="M121" s="32">
        <f t="shared" si="32"/>
        <v>0</v>
      </c>
      <c r="N121" s="32">
        <f t="shared" si="32"/>
        <v>0</v>
      </c>
      <c r="O121" s="32">
        <f t="shared" si="32"/>
        <v>0</v>
      </c>
      <c r="P121" s="32">
        <f t="shared" si="32"/>
        <v>0</v>
      </c>
      <c r="Q121" s="32">
        <f t="shared" si="32"/>
        <v>0</v>
      </c>
      <c r="R121" s="32">
        <f t="shared" si="32"/>
        <v>0</v>
      </c>
      <c r="S121" s="32">
        <f t="shared" si="32"/>
        <v>0</v>
      </c>
      <c r="T121" s="32">
        <f t="shared" si="32"/>
        <v>0</v>
      </c>
      <c r="U121" s="33">
        <f>SUM(U115:U119)</f>
        <v>40875</v>
      </c>
    </row>
    <row r="122" spans="1:21" hidden="1" x14ac:dyDescent="0.3">
      <c r="A122" s="126"/>
      <c r="B122" s="126"/>
      <c r="C122" s="126"/>
      <c r="D122" s="126"/>
      <c r="E122" s="126"/>
      <c r="G122" s="26" t="s">
        <v>58</v>
      </c>
      <c r="H122" s="24"/>
      <c r="I122" s="24"/>
      <c r="J122" s="24"/>
      <c r="K122" s="24"/>
      <c r="L122" s="24"/>
      <c r="M122" s="24"/>
      <c r="N122" s="24"/>
      <c r="O122" s="24"/>
      <c r="P122" s="24"/>
      <c r="Q122" s="24"/>
      <c r="R122" s="24"/>
      <c r="S122" s="24"/>
      <c r="T122" s="24"/>
      <c r="U122" s="34"/>
    </row>
    <row r="123" spans="1:21" hidden="1" x14ac:dyDescent="0.3">
      <c r="A123" s="126"/>
      <c r="B123" s="126"/>
      <c r="C123" s="126"/>
      <c r="D123" s="126"/>
      <c r="E123" s="126"/>
      <c r="G123" s="27" t="s">
        <v>47</v>
      </c>
      <c r="H123" s="24"/>
      <c r="I123" s="28"/>
      <c r="J123" s="28"/>
      <c r="K123" s="28"/>
      <c r="L123" s="28"/>
      <c r="M123" s="28"/>
      <c r="N123" s="28"/>
      <c r="O123" s="28"/>
      <c r="P123" s="28"/>
      <c r="Q123" s="28"/>
      <c r="R123" s="28"/>
      <c r="S123" s="28"/>
      <c r="T123" s="28"/>
      <c r="U123" s="29"/>
    </row>
    <row r="124" spans="1:21" hidden="1" x14ac:dyDescent="0.3">
      <c r="A124" s="126"/>
      <c r="B124" s="126"/>
      <c r="C124" s="126"/>
      <c r="D124" s="126"/>
      <c r="E124" s="126"/>
      <c r="G124" s="27" t="s">
        <v>30</v>
      </c>
      <c r="H124" s="24"/>
      <c r="I124" s="28">
        <f>INDEX('Travel Budget'!$K$20:$K$31,MATCH('Budget 2020'!I$6,'Travel Budget'!$E$20:$E$31,0))</f>
        <v>0</v>
      </c>
      <c r="J124" s="28">
        <f>INDEX('Travel Budget'!$K$20:$K$31,MATCH('Budget 2020'!J$6,'Travel Budget'!$E$20:$E$31,0))</f>
        <v>7080</v>
      </c>
      <c r="K124" s="28">
        <f>INDEX('Travel Budget'!$K$20:$K$31,MATCH('Budget 2020'!K$6,'Travel Budget'!$E$20:$E$31,0))</f>
        <v>0</v>
      </c>
      <c r="L124" s="28">
        <f>INDEX('Travel Budget'!$K$20:$K$31,MATCH('Budget 2020'!L$6,'Travel Budget'!$E$20:$E$31,0))</f>
        <v>0</v>
      </c>
      <c r="M124" s="28">
        <f>INDEX('Travel Budget'!$K$20:$K$31,MATCH('Budget 2020'!M$6,'Travel Budget'!$E$20:$E$31,0))</f>
        <v>0</v>
      </c>
      <c r="N124" s="28">
        <f>INDEX('Travel Budget'!$K$20:$K$31,MATCH('Budget 2020'!N$6,'Travel Budget'!$E$20:$E$31,0))</f>
        <v>0</v>
      </c>
      <c r="O124" s="28">
        <f>INDEX('Travel Budget'!$K$20:$K$31,MATCH('Budget 2020'!O$6,'Travel Budget'!$E$20:$E$31,0))</f>
        <v>7850</v>
      </c>
      <c r="P124" s="28">
        <f>INDEX('Travel Budget'!$K$20:$K$31,MATCH('Budget 2020'!P$6,'Travel Budget'!$E$20:$E$31,0))</f>
        <v>0</v>
      </c>
      <c r="Q124" s="28">
        <f>INDEX('Travel Budget'!$K$20:$K$31,MATCH('Budget 2020'!Q$6,'Travel Budget'!$E$20:$E$31,0))</f>
        <v>7850</v>
      </c>
      <c r="R124" s="28">
        <f>INDEX('Travel Budget'!$K$20:$K$31,MATCH('Budget 2020'!R$6,'Travel Budget'!$E$20:$E$31,0))</f>
        <v>27190</v>
      </c>
      <c r="S124" s="28">
        <f>INDEX('Travel Budget'!$K$20:$K$31,MATCH('Budget 2020'!S$6,'Travel Budget'!$E$20:$E$31,0))</f>
        <v>0</v>
      </c>
      <c r="T124" s="28">
        <f>INDEX('Travel Budget'!$K$20:$K$31,MATCH('Budget 2020'!T$6,'Travel Budget'!$E$20:$E$31,0))</f>
        <v>0</v>
      </c>
      <c r="U124" s="29">
        <f>SUM(I124:T124)</f>
        <v>49970</v>
      </c>
    </row>
    <row r="125" spans="1:21" hidden="1" x14ac:dyDescent="0.3">
      <c r="A125" s="126"/>
      <c r="B125" s="126"/>
      <c r="C125" s="126"/>
      <c r="D125" s="126"/>
      <c r="E125" s="126"/>
      <c r="G125" s="27" t="s">
        <v>53</v>
      </c>
      <c r="H125" s="24"/>
      <c r="I125" s="28"/>
      <c r="J125" s="28"/>
      <c r="K125" s="28"/>
      <c r="L125" s="28"/>
      <c r="M125" s="28"/>
      <c r="N125" s="28"/>
      <c r="O125" s="28"/>
      <c r="P125" s="28"/>
      <c r="Q125" s="28"/>
      <c r="R125" s="28"/>
      <c r="S125" s="28"/>
      <c r="T125" s="28"/>
      <c r="U125" s="29">
        <f>SUM(I125:T125)</f>
        <v>0</v>
      </c>
    </row>
    <row r="126" spans="1:21" hidden="1" x14ac:dyDescent="0.3">
      <c r="A126" s="126"/>
      <c r="B126" s="126"/>
      <c r="C126" s="126"/>
      <c r="D126" s="126"/>
      <c r="E126" s="126"/>
      <c r="G126" s="27" t="s">
        <v>54</v>
      </c>
      <c r="H126" s="24"/>
      <c r="I126" s="28"/>
      <c r="J126" s="28">
        <v>1000</v>
      </c>
      <c r="K126" s="28"/>
      <c r="L126" s="28"/>
      <c r="M126" s="28"/>
      <c r="N126" s="28"/>
      <c r="O126" s="28"/>
      <c r="P126" s="28"/>
      <c r="Q126" s="28"/>
      <c r="R126" s="28"/>
      <c r="S126" s="28"/>
      <c r="T126" s="28"/>
      <c r="U126" s="29">
        <f>SUM(I126:T126)</f>
        <v>1000</v>
      </c>
    </row>
    <row r="127" spans="1:21" hidden="1" x14ac:dyDescent="0.3">
      <c r="A127" s="126"/>
      <c r="B127" s="126"/>
      <c r="C127" s="126"/>
      <c r="D127" s="126"/>
      <c r="E127" s="126"/>
      <c r="G127" s="27" t="s">
        <v>46</v>
      </c>
      <c r="H127" s="24"/>
      <c r="I127" s="28"/>
      <c r="J127" s="28"/>
      <c r="K127" s="28"/>
      <c r="L127" s="28"/>
      <c r="M127" s="28"/>
      <c r="N127" s="28"/>
      <c r="O127" s="28"/>
      <c r="P127" s="28"/>
      <c r="Q127" s="28"/>
      <c r="R127" s="28"/>
      <c r="S127" s="28"/>
      <c r="T127" s="28"/>
      <c r="U127" s="29">
        <f>SUM(I127:T127)</f>
        <v>0</v>
      </c>
    </row>
    <row r="128" spans="1:21" hidden="1" x14ac:dyDescent="0.3">
      <c r="A128" s="126"/>
      <c r="B128" s="126"/>
      <c r="C128" s="126"/>
      <c r="D128" s="126"/>
      <c r="E128" s="126"/>
      <c r="F128" s="35">
        <v>0.1</v>
      </c>
      <c r="G128" s="36" t="str">
        <f>"Contigency"&amp;" "&amp;"at"&amp;" "&amp;(F128*100)&amp;"%"</f>
        <v>Contigency at 10%</v>
      </c>
      <c r="H128" s="37"/>
      <c r="I128" s="38">
        <f>SUM(I123:I127)*$F$63</f>
        <v>0</v>
      </c>
      <c r="J128" s="38">
        <f>SUM(J123:J127)*$F$63</f>
        <v>808</v>
      </c>
      <c r="K128" s="38">
        <f t="shared" ref="K128:T128" si="33">SUM(K123:K127)*$F$63</f>
        <v>0</v>
      </c>
      <c r="L128" s="38">
        <f t="shared" si="33"/>
        <v>0</v>
      </c>
      <c r="M128" s="38">
        <f t="shared" si="33"/>
        <v>0</v>
      </c>
      <c r="N128" s="38">
        <f t="shared" si="33"/>
        <v>0</v>
      </c>
      <c r="O128" s="38">
        <f t="shared" si="33"/>
        <v>785</v>
      </c>
      <c r="P128" s="38">
        <f t="shared" si="33"/>
        <v>0</v>
      </c>
      <c r="Q128" s="38">
        <f t="shared" si="33"/>
        <v>785</v>
      </c>
      <c r="R128" s="38">
        <f t="shared" si="33"/>
        <v>2719</v>
      </c>
      <c r="S128" s="38">
        <f t="shared" si="33"/>
        <v>0</v>
      </c>
      <c r="T128" s="38">
        <f t="shared" si="33"/>
        <v>0</v>
      </c>
      <c r="U128" s="39">
        <f>SUM(I128:T128)</f>
        <v>5097</v>
      </c>
    </row>
    <row r="129" spans="1:21" ht="15.75" hidden="1" thickBot="1" x14ac:dyDescent="0.35">
      <c r="A129" s="126"/>
      <c r="B129" s="126"/>
      <c r="C129" s="126"/>
      <c r="D129" s="126"/>
      <c r="E129" s="126"/>
      <c r="G129" s="30" t="s">
        <v>1</v>
      </c>
      <c r="H129" s="31"/>
      <c r="I129" s="32">
        <f>SUM(I123:I128)</f>
        <v>0</v>
      </c>
      <c r="J129" s="32">
        <f t="shared" ref="J129:T129" si="34">SUM(J123:J128)</f>
        <v>8888</v>
      </c>
      <c r="K129" s="32">
        <f t="shared" si="34"/>
        <v>0</v>
      </c>
      <c r="L129" s="32">
        <f t="shared" si="34"/>
        <v>0</v>
      </c>
      <c r="M129" s="32">
        <f t="shared" si="34"/>
        <v>0</v>
      </c>
      <c r="N129" s="32">
        <f t="shared" si="34"/>
        <v>0</v>
      </c>
      <c r="O129" s="32">
        <f t="shared" si="34"/>
        <v>8635</v>
      </c>
      <c r="P129" s="32">
        <f t="shared" si="34"/>
        <v>0</v>
      </c>
      <c r="Q129" s="32">
        <f t="shared" si="34"/>
        <v>8635</v>
      </c>
      <c r="R129" s="32">
        <f t="shared" si="34"/>
        <v>29909</v>
      </c>
      <c r="S129" s="32">
        <f t="shared" si="34"/>
        <v>0</v>
      </c>
      <c r="T129" s="32">
        <f t="shared" si="34"/>
        <v>0</v>
      </c>
      <c r="U129" s="33">
        <f>SUM(U123:U127)</f>
        <v>50970</v>
      </c>
    </row>
    <row r="130" spans="1:21" hidden="1" x14ac:dyDescent="0.3">
      <c r="A130" s="126"/>
      <c r="B130" s="126"/>
      <c r="C130" s="126"/>
      <c r="D130" s="126"/>
      <c r="E130" s="126"/>
      <c r="G130" s="26" t="s">
        <v>55</v>
      </c>
      <c r="H130" s="24"/>
      <c r="I130" s="24"/>
      <c r="J130" s="24"/>
      <c r="K130" s="24"/>
      <c r="L130" s="24"/>
      <c r="M130" s="24"/>
      <c r="N130" s="24"/>
      <c r="O130" s="24"/>
      <c r="P130" s="24"/>
      <c r="Q130" s="24"/>
      <c r="R130" s="24"/>
      <c r="S130" s="24"/>
      <c r="T130" s="24"/>
      <c r="U130" s="34"/>
    </row>
    <row r="131" spans="1:21" hidden="1" x14ac:dyDescent="0.3">
      <c r="A131" s="126"/>
      <c r="B131" s="126"/>
      <c r="C131" s="126"/>
      <c r="D131" s="126"/>
      <c r="E131" s="126"/>
      <c r="G131" s="27" t="s">
        <v>60</v>
      </c>
      <c r="H131" s="24"/>
      <c r="I131" s="24"/>
      <c r="J131" s="24"/>
      <c r="K131" s="24"/>
      <c r="L131" s="24"/>
      <c r="M131" s="24"/>
      <c r="N131" s="24"/>
      <c r="O131" s="24"/>
      <c r="P131" s="24"/>
      <c r="Q131" s="24"/>
      <c r="R131" s="24"/>
      <c r="S131" s="24"/>
      <c r="T131" s="24"/>
      <c r="U131" s="29">
        <f>SUM(I131:T131)</f>
        <v>0</v>
      </c>
    </row>
    <row r="132" spans="1:21" hidden="1" x14ac:dyDescent="0.3">
      <c r="A132" s="126"/>
      <c r="B132" s="126"/>
      <c r="C132" s="126"/>
      <c r="D132" s="126"/>
      <c r="E132" s="126"/>
      <c r="G132" s="27" t="s">
        <v>61</v>
      </c>
      <c r="H132" s="24"/>
      <c r="I132" s="24"/>
      <c r="J132" s="24"/>
      <c r="K132" s="24"/>
      <c r="L132" s="24"/>
      <c r="M132" s="24"/>
      <c r="N132" s="24"/>
      <c r="O132" s="24"/>
      <c r="P132" s="24"/>
      <c r="Q132" s="24"/>
      <c r="R132" s="24"/>
      <c r="S132" s="24"/>
      <c r="T132" s="24"/>
      <c r="U132" s="29">
        <f>SUM(I132:T132)</f>
        <v>0</v>
      </c>
    </row>
    <row r="133" spans="1:21" hidden="1" x14ac:dyDescent="0.3">
      <c r="A133" s="126"/>
      <c r="B133" s="126"/>
      <c r="C133" s="126"/>
      <c r="D133" s="126"/>
      <c r="E133" s="126"/>
      <c r="G133" s="27" t="s">
        <v>62</v>
      </c>
      <c r="H133" s="24"/>
      <c r="I133" s="24"/>
      <c r="J133" s="24"/>
      <c r="K133" s="24"/>
      <c r="L133" s="24"/>
      <c r="M133" s="24"/>
      <c r="N133" s="24"/>
      <c r="O133" s="24"/>
      <c r="P133" s="24"/>
      <c r="Q133" s="24"/>
      <c r="R133" s="24"/>
      <c r="S133" s="24"/>
      <c r="T133" s="24"/>
      <c r="U133" s="29">
        <f>SUM(I133:T133)</f>
        <v>0</v>
      </c>
    </row>
    <row r="134" spans="1:21" hidden="1" x14ac:dyDescent="0.3">
      <c r="A134" s="126"/>
      <c r="B134" s="126"/>
      <c r="C134" s="126"/>
      <c r="D134" s="126"/>
      <c r="E134" s="126"/>
      <c r="G134" s="27" t="s">
        <v>46</v>
      </c>
      <c r="H134" s="24"/>
      <c r="I134" s="24"/>
      <c r="J134" s="24"/>
      <c r="K134" s="24"/>
      <c r="L134" s="24"/>
      <c r="M134" s="24"/>
      <c r="N134" s="24"/>
      <c r="O134" s="24"/>
      <c r="P134" s="24"/>
      <c r="Q134" s="24"/>
      <c r="R134" s="24"/>
      <c r="S134" s="24"/>
      <c r="T134" s="24"/>
      <c r="U134" s="29">
        <f>SUM(I134:T134)</f>
        <v>0</v>
      </c>
    </row>
    <row r="135" spans="1:21" hidden="1" x14ac:dyDescent="0.3">
      <c r="A135" s="126"/>
      <c r="B135" s="126"/>
      <c r="C135" s="126"/>
      <c r="D135" s="126"/>
      <c r="E135" s="126"/>
      <c r="F135" s="35">
        <v>0.1</v>
      </c>
      <c r="G135" s="36" t="str">
        <f>"Contigency"&amp;" "&amp;"at"&amp;" "&amp;(F135*100)&amp;"%"</f>
        <v>Contigency at 10%</v>
      </c>
      <c r="H135" s="24"/>
      <c r="I135" s="28">
        <f>SUM(I131:I134)*$F$71</f>
        <v>0</v>
      </c>
      <c r="J135" s="28">
        <f>SUM(J131:J134)*$F$71</f>
        <v>0</v>
      </c>
      <c r="K135" s="28">
        <f t="shared" ref="K135:T135" si="35">SUM(K131:K134)*$F$71</f>
        <v>0</v>
      </c>
      <c r="L135" s="28">
        <f t="shared" si="35"/>
        <v>0</v>
      </c>
      <c r="M135" s="28">
        <f t="shared" si="35"/>
        <v>0</v>
      </c>
      <c r="N135" s="28">
        <f t="shared" si="35"/>
        <v>0</v>
      </c>
      <c r="O135" s="28">
        <f t="shared" si="35"/>
        <v>0</v>
      </c>
      <c r="P135" s="28">
        <f t="shared" si="35"/>
        <v>0</v>
      </c>
      <c r="Q135" s="28">
        <f t="shared" si="35"/>
        <v>0</v>
      </c>
      <c r="R135" s="28">
        <f t="shared" si="35"/>
        <v>0</v>
      </c>
      <c r="S135" s="28">
        <f t="shared" si="35"/>
        <v>0</v>
      </c>
      <c r="T135" s="28">
        <f t="shared" si="35"/>
        <v>0</v>
      </c>
      <c r="U135" s="29">
        <f>SUM(I135:T135)</f>
        <v>0</v>
      </c>
    </row>
    <row r="136" spans="1:21" ht="15.75" hidden="1" thickBot="1" x14ac:dyDescent="0.35">
      <c r="A136" s="126"/>
      <c r="B136" s="126"/>
      <c r="C136" s="126"/>
      <c r="D136" s="126"/>
      <c r="E136" s="126"/>
      <c r="G136" s="30" t="s">
        <v>1</v>
      </c>
      <c r="H136" s="31"/>
      <c r="I136" s="32">
        <f t="shared" ref="I136:T136" si="36">SUM(I131:I135)</f>
        <v>0</v>
      </c>
      <c r="J136" s="32">
        <f t="shared" si="36"/>
        <v>0</v>
      </c>
      <c r="K136" s="32">
        <f t="shared" si="36"/>
        <v>0</v>
      </c>
      <c r="L136" s="32">
        <f t="shared" si="36"/>
        <v>0</v>
      </c>
      <c r="M136" s="32">
        <f t="shared" si="36"/>
        <v>0</v>
      </c>
      <c r="N136" s="32">
        <f t="shared" si="36"/>
        <v>0</v>
      </c>
      <c r="O136" s="32">
        <f t="shared" si="36"/>
        <v>0</v>
      </c>
      <c r="P136" s="32">
        <f t="shared" si="36"/>
        <v>0</v>
      </c>
      <c r="Q136" s="32">
        <f t="shared" si="36"/>
        <v>0</v>
      </c>
      <c r="R136" s="32">
        <f t="shared" si="36"/>
        <v>0</v>
      </c>
      <c r="S136" s="32">
        <f t="shared" si="36"/>
        <v>0</v>
      </c>
      <c r="T136" s="32">
        <f t="shared" si="36"/>
        <v>0</v>
      </c>
      <c r="U136" s="33">
        <f>SUM(U131:U134)</f>
        <v>0</v>
      </c>
    </row>
    <row r="137" spans="1:21" hidden="1" x14ac:dyDescent="0.3">
      <c r="A137" s="126"/>
      <c r="B137" s="126"/>
      <c r="C137" s="126"/>
      <c r="D137" s="126"/>
      <c r="E137" s="126"/>
      <c r="G137" s="42"/>
      <c r="H137" s="37"/>
      <c r="I137" s="37"/>
      <c r="J137" s="37"/>
      <c r="K137" s="37"/>
      <c r="L137" s="37"/>
      <c r="M137" s="37"/>
      <c r="N137" s="37"/>
      <c r="O137" s="37"/>
      <c r="P137" s="37"/>
      <c r="Q137" s="37"/>
      <c r="R137" s="37"/>
      <c r="S137" s="37"/>
      <c r="T137" s="37"/>
      <c r="U137" s="43"/>
    </row>
    <row r="138" spans="1:21" ht="15.75" hidden="1" thickBot="1" x14ac:dyDescent="0.35">
      <c r="A138" s="126"/>
      <c r="B138" s="126"/>
      <c r="C138" s="126"/>
      <c r="D138" s="126"/>
      <c r="E138" s="126"/>
      <c r="G138" s="134" t="s">
        <v>63</v>
      </c>
      <c r="H138" s="135"/>
      <c r="I138" s="136">
        <f t="shared" ref="I138:U138" si="37">I101+I107+I116+I120+I129+I136</f>
        <v>34591.666666666672</v>
      </c>
      <c r="J138" s="136">
        <f t="shared" si="37"/>
        <v>43479.666666666672</v>
      </c>
      <c r="K138" s="136">
        <f t="shared" si="37"/>
        <v>34921.666666666672</v>
      </c>
      <c r="L138" s="136">
        <f t="shared" si="37"/>
        <v>34591.666666666672</v>
      </c>
      <c r="M138" s="136">
        <f t="shared" si="37"/>
        <v>34591.666666666672</v>
      </c>
      <c r="N138" s="136">
        <f t="shared" si="37"/>
        <v>34921.666666666672</v>
      </c>
      <c r="O138" s="136">
        <f t="shared" si="37"/>
        <v>43226.666666666672</v>
      </c>
      <c r="P138" s="136">
        <f t="shared" si="37"/>
        <v>45591.666666666672</v>
      </c>
      <c r="Q138" s="136">
        <f t="shared" si="37"/>
        <v>43556.666666666672</v>
      </c>
      <c r="R138" s="136">
        <f t="shared" si="37"/>
        <v>64500.666666666672</v>
      </c>
      <c r="S138" s="136">
        <f t="shared" si="37"/>
        <v>34591.666666666672</v>
      </c>
      <c r="T138" s="136">
        <f t="shared" si="37"/>
        <v>37121.666666666672</v>
      </c>
      <c r="U138" s="44">
        <f t="shared" si="37"/>
        <v>480590</v>
      </c>
    </row>
    <row r="139" spans="1:21" hidden="1" x14ac:dyDescent="0.3">
      <c r="A139" s="126"/>
      <c r="B139" s="126"/>
      <c r="C139" s="126"/>
      <c r="D139" s="126"/>
      <c r="E139" s="126"/>
    </row>
    <row r="140" spans="1:21" hidden="1" x14ac:dyDescent="0.3">
      <c r="A140" s="126"/>
      <c r="B140" s="126"/>
      <c r="C140" s="126"/>
      <c r="D140" s="126"/>
      <c r="E140" s="126"/>
    </row>
    <row r="141" spans="1:21" hidden="1" x14ac:dyDescent="0.3">
      <c r="A141" s="126"/>
      <c r="B141" s="126"/>
      <c r="C141" s="126"/>
      <c r="D141" s="126"/>
      <c r="E141" s="126"/>
    </row>
    <row r="142" spans="1:21" hidden="1" x14ac:dyDescent="0.3">
      <c r="A142" s="126"/>
      <c r="B142" s="126"/>
      <c r="C142" s="126"/>
      <c r="D142" s="126"/>
      <c r="E142" s="126"/>
    </row>
    <row r="143" spans="1:21" hidden="1" x14ac:dyDescent="0.3">
      <c r="A143" s="126"/>
      <c r="B143" s="126"/>
      <c r="C143" s="126"/>
      <c r="D143" s="126"/>
      <c r="E143" s="126"/>
    </row>
    <row r="144" spans="1:21" hidden="1" x14ac:dyDescent="0.3">
      <c r="A144" s="126"/>
      <c r="B144" s="126"/>
      <c r="C144" s="126"/>
      <c r="D144" s="126"/>
      <c r="E144" s="126"/>
    </row>
    <row r="145" spans="1:21" hidden="1" x14ac:dyDescent="0.3">
      <c r="A145" s="126"/>
      <c r="B145" s="126"/>
      <c r="C145" s="126"/>
      <c r="D145" s="126"/>
      <c r="E145" s="126"/>
    </row>
    <row r="146" spans="1:21" hidden="1" x14ac:dyDescent="0.3">
      <c r="A146" s="126"/>
      <c r="B146" s="126"/>
      <c r="C146" s="126"/>
      <c r="D146" s="126"/>
      <c r="E146" s="126"/>
    </row>
    <row r="147" spans="1:21" hidden="1" x14ac:dyDescent="0.3">
      <c r="A147" s="126"/>
      <c r="B147" s="126"/>
      <c r="C147" s="126"/>
      <c r="D147" s="126"/>
      <c r="E147" s="126"/>
    </row>
    <row r="148" spans="1:21" hidden="1" x14ac:dyDescent="0.3">
      <c r="A148" s="126"/>
      <c r="B148" s="126"/>
      <c r="C148" s="126"/>
      <c r="D148" s="126"/>
      <c r="E148" s="126"/>
    </row>
    <row r="149" spans="1:21" hidden="1" x14ac:dyDescent="0.3">
      <c r="A149" s="126"/>
      <c r="B149" s="126"/>
      <c r="C149" s="126"/>
      <c r="D149" s="126"/>
      <c r="E149" s="126"/>
    </row>
    <row r="150" spans="1:21" hidden="1" x14ac:dyDescent="0.3">
      <c r="A150" s="126"/>
      <c r="B150" s="126"/>
      <c r="C150" s="126"/>
      <c r="D150" s="126"/>
      <c r="E150" s="126"/>
    </row>
    <row r="151" spans="1:21" hidden="1" x14ac:dyDescent="0.3">
      <c r="A151" s="126"/>
      <c r="B151" s="126"/>
      <c r="C151" s="126"/>
      <c r="D151" s="126"/>
      <c r="E151" s="126"/>
    </row>
    <row r="152" spans="1:21" hidden="1" x14ac:dyDescent="0.3">
      <c r="A152" s="126"/>
      <c r="B152" s="126"/>
      <c r="C152" s="126"/>
      <c r="D152" s="126"/>
      <c r="E152" s="126"/>
      <c r="F152" s="143"/>
      <c r="G152" s="164" t="s">
        <v>50</v>
      </c>
      <c r="H152" s="165"/>
      <c r="I152" s="166">
        <v>43831</v>
      </c>
      <c r="J152" s="166">
        <v>43862</v>
      </c>
      <c r="K152" s="166">
        <v>43891</v>
      </c>
      <c r="L152" s="166">
        <v>43922</v>
      </c>
      <c r="M152" s="166">
        <v>43952</v>
      </c>
      <c r="N152" s="166">
        <v>43983</v>
      </c>
      <c r="O152" s="166">
        <v>44013</v>
      </c>
      <c r="P152" s="166">
        <v>44044</v>
      </c>
      <c r="Q152" s="166">
        <v>44075</v>
      </c>
      <c r="R152" s="166">
        <v>44105</v>
      </c>
      <c r="S152" s="166">
        <v>44136</v>
      </c>
      <c r="T152" s="167">
        <v>44166</v>
      </c>
      <c r="U152" s="144" t="s">
        <v>1</v>
      </c>
    </row>
    <row r="153" spans="1:21" hidden="1" x14ac:dyDescent="0.3">
      <c r="A153" s="126"/>
      <c r="B153" s="126"/>
      <c r="C153" s="126"/>
      <c r="D153" s="126"/>
      <c r="E153" s="126"/>
      <c r="F153" s="122"/>
      <c r="G153" s="123"/>
      <c r="H153" s="124"/>
      <c r="I153" s="125"/>
      <c r="J153" s="125"/>
      <c r="K153" s="125"/>
      <c r="L153" s="125"/>
      <c r="M153" s="125"/>
      <c r="N153" s="125"/>
      <c r="O153" s="125"/>
      <c r="P153" s="125"/>
      <c r="Q153" s="125"/>
      <c r="R153" s="125"/>
      <c r="S153" s="125"/>
      <c r="T153" s="125"/>
      <c r="U153" s="132"/>
    </row>
    <row r="154" spans="1:21" hidden="1" x14ac:dyDescent="0.3">
      <c r="A154" s="126"/>
      <c r="B154" s="126"/>
      <c r="C154" s="126"/>
      <c r="D154" s="126"/>
      <c r="E154" s="126"/>
      <c r="F154" s="122"/>
      <c r="G154" s="26" t="s">
        <v>114</v>
      </c>
      <c r="H154" s="124"/>
      <c r="I154" s="125"/>
      <c r="J154" s="125"/>
      <c r="K154" s="125"/>
      <c r="L154" s="125"/>
      <c r="M154" s="125"/>
      <c r="N154" s="125"/>
      <c r="O154" s="125"/>
      <c r="P154" s="125"/>
      <c r="Q154" s="125"/>
      <c r="R154" s="125"/>
      <c r="S154" s="125"/>
      <c r="T154" s="125"/>
      <c r="U154" s="132"/>
    </row>
    <row r="155" spans="1:21" hidden="1" x14ac:dyDescent="0.3">
      <c r="A155" s="126"/>
      <c r="B155" s="126"/>
      <c r="C155" s="126"/>
      <c r="D155" s="126"/>
      <c r="E155" s="126"/>
      <c r="F155" s="126"/>
      <c r="G155" s="133" t="s">
        <v>101</v>
      </c>
      <c r="H155" s="127"/>
      <c r="I155" s="128"/>
      <c r="J155" s="128"/>
      <c r="K155" s="128"/>
      <c r="L155" s="128"/>
      <c r="M155" s="128"/>
      <c r="N155" s="128"/>
      <c r="O155" s="128"/>
      <c r="P155" s="128"/>
      <c r="Q155" s="128"/>
      <c r="R155" s="128"/>
      <c r="S155" s="128"/>
      <c r="T155" s="128"/>
      <c r="U155" s="132"/>
    </row>
    <row r="156" spans="1:21" hidden="1" x14ac:dyDescent="0.3">
      <c r="A156" s="126"/>
      <c r="B156" s="126"/>
      <c r="C156" s="126"/>
      <c r="D156" s="126"/>
      <c r="E156" s="126"/>
      <c r="F156" s="126"/>
      <c r="G156" s="133" t="s">
        <v>53</v>
      </c>
      <c r="H156" s="127"/>
      <c r="I156" s="128"/>
      <c r="J156" s="128"/>
      <c r="K156" s="128"/>
      <c r="L156" s="128"/>
      <c r="M156" s="128"/>
      <c r="N156" s="128"/>
      <c r="O156" s="128"/>
      <c r="P156" s="128"/>
      <c r="Q156" s="128"/>
      <c r="R156" s="128"/>
      <c r="S156" s="128"/>
      <c r="T156" s="128"/>
      <c r="U156" s="132"/>
    </row>
    <row r="157" spans="1:21" hidden="1" x14ac:dyDescent="0.3">
      <c r="A157" s="126"/>
      <c r="B157" s="126"/>
      <c r="C157" s="126"/>
      <c r="D157" s="126"/>
      <c r="E157" s="126"/>
      <c r="F157" s="126"/>
      <c r="G157" s="133" t="s">
        <v>115</v>
      </c>
      <c r="H157" s="127"/>
      <c r="I157" s="128"/>
      <c r="J157" s="128"/>
      <c r="K157" s="128"/>
      <c r="L157" s="128"/>
      <c r="M157" s="128"/>
      <c r="N157" s="128"/>
      <c r="O157" s="128"/>
      <c r="P157" s="128"/>
      <c r="Q157" s="128"/>
      <c r="R157" s="128"/>
      <c r="S157" s="128"/>
      <c r="T157" s="128"/>
      <c r="U157" s="132"/>
    </row>
    <row r="158" spans="1:21" hidden="1" x14ac:dyDescent="0.3">
      <c r="A158" s="126"/>
      <c r="B158" s="126"/>
      <c r="C158" s="126"/>
      <c r="D158" s="126"/>
      <c r="E158" s="126"/>
      <c r="F158" s="129"/>
      <c r="G158" s="133" t="s">
        <v>102</v>
      </c>
      <c r="H158" s="131"/>
      <c r="I158" s="131"/>
      <c r="J158" s="131"/>
      <c r="K158" s="131"/>
      <c r="L158" s="131"/>
      <c r="M158" s="131"/>
      <c r="N158" s="131"/>
      <c r="O158" s="131"/>
      <c r="P158" s="131"/>
      <c r="Q158" s="131"/>
      <c r="R158" s="131"/>
      <c r="S158" s="131"/>
      <c r="T158" s="131"/>
      <c r="U158" s="132"/>
    </row>
    <row r="159" spans="1:21" hidden="1" x14ac:dyDescent="0.3">
      <c r="A159" s="126"/>
      <c r="B159" s="126"/>
      <c r="C159" s="126"/>
      <c r="D159" s="126"/>
      <c r="E159" s="126"/>
      <c r="F159" s="129"/>
      <c r="G159" s="133" t="s">
        <v>116</v>
      </c>
      <c r="H159" s="131"/>
      <c r="I159" s="131"/>
      <c r="J159" s="131"/>
      <c r="K159" s="131"/>
      <c r="L159" s="131"/>
      <c r="M159" s="131"/>
      <c r="N159" s="131"/>
      <c r="O159" s="131"/>
      <c r="P159" s="131"/>
      <c r="Q159" s="131"/>
      <c r="R159" s="131"/>
      <c r="S159" s="131"/>
      <c r="T159" s="131"/>
      <c r="U159" s="132"/>
    </row>
    <row r="160" spans="1:21" ht="15.75" hidden="1" thickBot="1" x14ac:dyDescent="0.35">
      <c r="A160" s="126"/>
      <c r="B160" s="126"/>
      <c r="C160" s="126"/>
      <c r="D160" s="126"/>
      <c r="E160" s="126"/>
      <c r="F160" s="129"/>
      <c r="G160" s="30" t="s">
        <v>1</v>
      </c>
      <c r="H160" s="31"/>
      <c r="I160" s="32">
        <f t="shared" ref="I160:U160" si="38">SUM(I155:I159)</f>
        <v>0</v>
      </c>
      <c r="J160" s="32">
        <f t="shared" si="38"/>
        <v>0</v>
      </c>
      <c r="K160" s="32">
        <f t="shared" si="38"/>
        <v>0</v>
      </c>
      <c r="L160" s="32">
        <f t="shared" si="38"/>
        <v>0</v>
      </c>
      <c r="M160" s="32">
        <f t="shared" si="38"/>
        <v>0</v>
      </c>
      <c r="N160" s="32">
        <f t="shared" si="38"/>
        <v>0</v>
      </c>
      <c r="O160" s="32">
        <f t="shared" si="38"/>
        <v>0</v>
      </c>
      <c r="P160" s="32">
        <f t="shared" si="38"/>
        <v>0</v>
      </c>
      <c r="Q160" s="32">
        <f t="shared" si="38"/>
        <v>0</v>
      </c>
      <c r="R160" s="32">
        <f t="shared" si="38"/>
        <v>0</v>
      </c>
      <c r="S160" s="32">
        <f t="shared" si="38"/>
        <v>0</v>
      </c>
      <c r="T160" s="32">
        <f t="shared" si="38"/>
        <v>0</v>
      </c>
      <c r="U160" s="33">
        <f t="shared" si="38"/>
        <v>0</v>
      </c>
    </row>
    <row r="161" spans="1:21" hidden="1" x14ac:dyDescent="0.3">
      <c r="A161" s="126"/>
      <c r="B161" s="126"/>
      <c r="C161" s="126"/>
      <c r="D161" s="126"/>
      <c r="E161" s="126"/>
      <c r="F161" s="129"/>
      <c r="G161" s="130"/>
      <c r="H161" s="131"/>
      <c r="I161" s="131"/>
      <c r="J161" s="131"/>
      <c r="K161" s="131"/>
      <c r="L161" s="131"/>
      <c r="M161" s="131"/>
      <c r="N161" s="131"/>
      <c r="O161" s="131"/>
      <c r="P161" s="131"/>
      <c r="Q161" s="131"/>
      <c r="R161" s="131"/>
      <c r="S161" s="131"/>
      <c r="T161" s="131"/>
      <c r="U161" s="132"/>
    </row>
    <row r="162" spans="1:21" hidden="1" x14ac:dyDescent="0.3">
      <c r="A162" s="126"/>
      <c r="B162" s="126"/>
      <c r="C162" s="126"/>
      <c r="D162" s="126"/>
      <c r="E162" s="126"/>
      <c r="G162" s="26" t="s">
        <v>36</v>
      </c>
      <c r="H162" s="24"/>
      <c r="I162" s="24"/>
      <c r="J162" s="24"/>
      <c r="K162" s="24"/>
      <c r="L162" s="24"/>
      <c r="M162" s="24"/>
      <c r="N162" s="24"/>
      <c r="O162" s="24"/>
      <c r="P162" s="24"/>
      <c r="Q162" s="24"/>
      <c r="R162" s="24"/>
      <c r="S162" s="24"/>
      <c r="T162" s="24"/>
      <c r="U162" s="25"/>
    </row>
    <row r="163" spans="1:21" hidden="1" x14ac:dyDescent="0.3">
      <c r="A163" s="126"/>
      <c r="B163" s="126"/>
      <c r="C163" s="126"/>
      <c r="D163" s="126"/>
      <c r="E163" s="126"/>
      <c r="G163" s="27" t="s">
        <v>37</v>
      </c>
      <c r="H163" s="24"/>
      <c r="I163" s="28">
        <f>200000/12</f>
        <v>16666.666666666668</v>
      </c>
      <c r="J163" s="28">
        <f t="shared" ref="J163:T163" si="39">200000/12</f>
        <v>16666.666666666668</v>
      </c>
      <c r="K163" s="28">
        <f t="shared" si="39"/>
        <v>16666.666666666668</v>
      </c>
      <c r="L163" s="28">
        <f t="shared" si="39"/>
        <v>16666.666666666668</v>
      </c>
      <c r="M163" s="28">
        <f t="shared" si="39"/>
        <v>16666.666666666668</v>
      </c>
      <c r="N163" s="28">
        <f t="shared" si="39"/>
        <v>16666.666666666668</v>
      </c>
      <c r="O163" s="28">
        <f t="shared" si="39"/>
        <v>16666.666666666668</v>
      </c>
      <c r="P163" s="28">
        <f t="shared" si="39"/>
        <v>16666.666666666668</v>
      </c>
      <c r="Q163" s="28">
        <f t="shared" si="39"/>
        <v>16666.666666666668</v>
      </c>
      <c r="R163" s="28">
        <f t="shared" si="39"/>
        <v>16666.666666666668</v>
      </c>
      <c r="S163" s="28">
        <f t="shared" si="39"/>
        <v>16666.666666666668</v>
      </c>
      <c r="T163" s="28">
        <f t="shared" si="39"/>
        <v>16666.666666666668</v>
      </c>
      <c r="U163" s="29">
        <f>SUM(I163:T163)</f>
        <v>199999.99999999997</v>
      </c>
    </row>
    <row r="164" spans="1:21" hidden="1" x14ac:dyDescent="0.3">
      <c r="A164" s="126"/>
      <c r="B164" s="126"/>
      <c r="C164" s="126"/>
      <c r="D164" s="126"/>
      <c r="E164" s="126"/>
      <c r="G164" s="27" t="s">
        <v>39</v>
      </c>
      <c r="H164" s="24"/>
      <c r="I164" s="28">
        <f>10000</f>
        <v>10000</v>
      </c>
      <c r="J164" s="28">
        <f>10000</f>
        <v>10000</v>
      </c>
      <c r="K164" s="28">
        <f>10000</f>
        <v>10000</v>
      </c>
      <c r="L164" s="28">
        <f>10000</f>
        <v>10000</v>
      </c>
      <c r="M164" s="28">
        <f>10000</f>
        <v>10000</v>
      </c>
      <c r="N164" s="28">
        <f>10000</f>
        <v>10000</v>
      </c>
      <c r="O164" s="28">
        <f>10000</f>
        <v>10000</v>
      </c>
      <c r="P164" s="28">
        <f>10000</f>
        <v>10000</v>
      </c>
      <c r="Q164" s="28">
        <f>10000</f>
        <v>10000</v>
      </c>
      <c r="R164" s="28">
        <f>10000</f>
        <v>10000</v>
      </c>
      <c r="S164" s="28">
        <f>10000</f>
        <v>10000</v>
      </c>
      <c r="T164" s="28">
        <f>10000</f>
        <v>10000</v>
      </c>
      <c r="U164" s="29">
        <f>SUM(I164:T164)</f>
        <v>120000</v>
      </c>
    </row>
    <row r="165" spans="1:21" hidden="1" x14ac:dyDescent="0.3">
      <c r="A165" s="126"/>
      <c r="B165" s="126"/>
      <c r="C165" s="126"/>
      <c r="D165" s="126"/>
      <c r="E165" s="126"/>
      <c r="G165" s="27" t="s">
        <v>38</v>
      </c>
      <c r="H165" s="24"/>
      <c r="I165" s="28">
        <f>30*65*4</f>
        <v>7800</v>
      </c>
      <c r="J165" s="28">
        <f t="shared" ref="J165:T165" si="40">30*65*4</f>
        <v>7800</v>
      </c>
      <c r="K165" s="28">
        <f t="shared" si="40"/>
        <v>7800</v>
      </c>
      <c r="L165" s="28">
        <f t="shared" si="40"/>
        <v>7800</v>
      </c>
      <c r="M165" s="28">
        <f t="shared" si="40"/>
        <v>7800</v>
      </c>
      <c r="N165" s="28">
        <f t="shared" si="40"/>
        <v>7800</v>
      </c>
      <c r="O165" s="28">
        <f t="shared" si="40"/>
        <v>7800</v>
      </c>
      <c r="P165" s="28">
        <f t="shared" si="40"/>
        <v>7800</v>
      </c>
      <c r="Q165" s="28">
        <f t="shared" si="40"/>
        <v>7800</v>
      </c>
      <c r="R165" s="28">
        <f t="shared" si="40"/>
        <v>7800</v>
      </c>
      <c r="S165" s="28">
        <f t="shared" si="40"/>
        <v>7800</v>
      </c>
      <c r="T165" s="28">
        <f t="shared" si="40"/>
        <v>7800</v>
      </c>
      <c r="U165" s="29">
        <f>SUM(I165:T165)</f>
        <v>93600</v>
      </c>
    </row>
    <row r="166" spans="1:21" hidden="1" x14ac:dyDescent="0.3">
      <c r="A166" s="126"/>
      <c r="B166" s="126"/>
      <c r="C166" s="126"/>
      <c r="D166" s="126"/>
      <c r="E166" s="126"/>
      <c r="G166" s="27" t="s">
        <v>59</v>
      </c>
      <c r="H166" s="24"/>
      <c r="I166" s="28"/>
      <c r="J166" s="28"/>
      <c r="K166" s="28"/>
      <c r="L166" s="28"/>
      <c r="M166" s="28"/>
      <c r="N166" s="28"/>
      <c r="O166" s="28"/>
      <c r="P166" s="28"/>
      <c r="Q166" s="28"/>
      <c r="R166" s="28"/>
      <c r="S166" s="28"/>
      <c r="T166" s="28"/>
      <c r="U166" s="29">
        <f>SUM(I166:T166)</f>
        <v>0</v>
      </c>
    </row>
    <row r="167" spans="1:21" ht="15.75" hidden="1" thickBot="1" x14ac:dyDescent="0.35">
      <c r="A167" s="126"/>
      <c r="B167" s="126"/>
      <c r="C167" s="126"/>
      <c r="D167" s="126"/>
      <c r="E167" s="126"/>
      <c r="G167" s="30" t="s">
        <v>1</v>
      </c>
      <c r="H167" s="31"/>
      <c r="I167" s="32">
        <f>SUM(I163:I166)</f>
        <v>34466.666666666672</v>
      </c>
      <c r="J167" s="32">
        <f t="shared" ref="J167:U167" si="41">SUM(J163:J166)</f>
        <v>34466.666666666672</v>
      </c>
      <c r="K167" s="32">
        <f t="shared" si="41"/>
        <v>34466.666666666672</v>
      </c>
      <c r="L167" s="32">
        <f t="shared" si="41"/>
        <v>34466.666666666672</v>
      </c>
      <c r="M167" s="32">
        <f t="shared" si="41"/>
        <v>34466.666666666672</v>
      </c>
      <c r="N167" s="32">
        <f t="shared" si="41"/>
        <v>34466.666666666672</v>
      </c>
      <c r="O167" s="32">
        <f t="shared" si="41"/>
        <v>34466.666666666672</v>
      </c>
      <c r="P167" s="32">
        <f t="shared" si="41"/>
        <v>34466.666666666672</v>
      </c>
      <c r="Q167" s="32">
        <f t="shared" si="41"/>
        <v>34466.666666666672</v>
      </c>
      <c r="R167" s="32">
        <f t="shared" si="41"/>
        <v>34466.666666666672</v>
      </c>
      <c r="S167" s="32">
        <f t="shared" si="41"/>
        <v>34466.666666666672</v>
      </c>
      <c r="T167" s="32">
        <f t="shared" si="41"/>
        <v>34466.666666666672</v>
      </c>
      <c r="U167" s="33">
        <f t="shared" si="41"/>
        <v>413600</v>
      </c>
    </row>
    <row r="168" spans="1:21" hidden="1" x14ac:dyDescent="0.3">
      <c r="A168" s="126"/>
      <c r="B168" s="126"/>
      <c r="C168" s="126"/>
      <c r="D168" s="126"/>
      <c r="E168" s="126"/>
      <c r="G168" s="26" t="s">
        <v>31</v>
      </c>
      <c r="H168" s="24"/>
      <c r="I168" s="24"/>
      <c r="J168" s="24"/>
      <c r="K168" s="24"/>
      <c r="L168" s="24"/>
      <c r="M168" s="24"/>
      <c r="N168" s="24"/>
      <c r="O168" s="24"/>
      <c r="P168" s="24"/>
      <c r="Q168" s="24"/>
      <c r="R168" s="24"/>
      <c r="S168" s="24"/>
      <c r="T168" s="24"/>
      <c r="U168" s="34"/>
    </row>
    <row r="169" spans="1:21" hidden="1" x14ac:dyDescent="0.3">
      <c r="A169" s="126"/>
      <c r="B169" s="126"/>
      <c r="C169" s="126"/>
      <c r="D169" s="126"/>
      <c r="E169" s="126"/>
      <c r="G169" s="27" t="s">
        <v>40</v>
      </c>
      <c r="H169" s="24"/>
      <c r="I169" s="28"/>
      <c r="J169" s="28"/>
      <c r="K169" s="28"/>
      <c r="L169" s="28"/>
      <c r="M169" s="28"/>
      <c r="N169" s="28"/>
      <c r="O169" s="28"/>
      <c r="P169" s="28">
        <v>10000</v>
      </c>
      <c r="Q169" s="28"/>
      <c r="R169" s="28"/>
      <c r="S169" s="28"/>
      <c r="T169" s="28"/>
      <c r="U169" s="29">
        <f>SUM(I169:T169)</f>
        <v>10000</v>
      </c>
    </row>
    <row r="170" spans="1:21" hidden="1" x14ac:dyDescent="0.3">
      <c r="A170" s="126"/>
      <c r="B170" s="126"/>
      <c r="C170" s="126"/>
      <c r="D170" s="126"/>
      <c r="E170" s="126"/>
      <c r="G170" s="27" t="s">
        <v>48</v>
      </c>
      <c r="H170" s="24"/>
      <c r="I170" s="28"/>
      <c r="J170" s="28"/>
      <c r="K170" s="28">
        <v>5000</v>
      </c>
      <c r="L170" s="28"/>
      <c r="M170" s="28"/>
      <c r="N170" s="28">
        <v>5000</v>
      </c>
      <c r="O170" s="28"/>
      <c r="P170" s="28"/>
      <c r="Q170" s="28">
        <v>5000</v>
      </c>
      <c r="R170" s="28"/>
      <c r="S170" s="28"/>
      <c r="T170" s="28">
        <v>5000</v>
      </c>
      <c r="U170" s="29">
        <f>SUM(I170:T170)</f>
        <v>20000</v>
      </c>
    </row>
    <row r="171" spans="1:21" hidden="1" x14ac:dyDescent="0.3">
      <c r="A171" s="126"/>
      <c r="B171" s="126"/>
      <c r="C171" s="126"/>
      <c r="D171" s="126"/>
      <c r="E171" s="126"/>
      <c r="G171" s="27" t="s">
        <v>49</v>
      </c>
      <c r="H171" s="24"/>
      <c r="I171" s="28"/>
      <c r="J171" s="28"/>
      <c r="K171" s="28"/>
      <c r="L171" s="28"/>
      <c r="M171" s="28"/>
      <c r="N171" s="28"/>
      <c r="O171" s="28"/>
      <c r="P171" s="28"/>
      <c r="Q171" s="28"/>
      <c r="R171" s="28"/>
      <c r="S171" s="28"/>
      <c r="T171" s="28"/>
      <c r="U171" s="29">
        <f>SUM(I171:T171)</f>
        <v>0</v>
      </c>
    </row>
    <row r="172" spans="1:21" hidden="1" x14ac:dyDescent="0.3">
      <c r="A172" s="126"/>
      <c r="B172" s="126"/>
      <c r="C172" s="126"/>
      <c r="D172" s="126"/>
      <c r="E172" s="126"/>
      <c r="F172" s="35">
        <v>0.1</v>
      </c>
      <c r="G172" s="36" t="str">
        <f>"Contigency"&amp;" "&amp;"at"&amp;" "&amp;(F172*100)&amp;"%"</f>
        <v>Contigency at 10%</v>
      </c>
      <c r="H172" s="37"/>
      <c r="I172" s="38">
        <f>SUM(I169:I171)*$F$31</f>
        <v>0</v>
      </c>
      <c r="J172" s="38">
        <f>SUM(J169:J171)*$F$31</f>
        <v>0</v>
      </c>
      <c r="K172" s="38">
        <f t="shared" ref="K172:T172" si="42">SUM(K169:K171)*$F$31</f>
        <v>500</v>
      </c>
      <c r="L172" s="38">
        <f t="shared" si="42"/>
        <v>0</v>
      </c>
      <c r="M172" s="38">
        <f t="shared" si="42"/>
        <v>0</v>
      </c>
      <c r="N172" s="38">
        <f t="shared" si="42"/>
        <v>500</v>
      </c>
      <c r="O172" s="38">
        <f t="shared" si="42"/>
        <v>0</v>
      </c>
      <c r="P172" s="38">
        <f t="shared" si="42"/>
        <v>1000</v>
      </c>
      <c r="Q172" s="38">
        <f t="shared" si="42"/>
        <v>500</v>
      </c>
      <c r="R172" s="38">
        <f t="shared" si="42"/>
        <v>0</v>
      </c>
      <c r="S172" s="38">
        <f t="shared" si="42"/>
        <v>0</v>
      </c>
      <c r="T172" s="38">
        <f t="shared" si="42"/>
        <v>500</v>
      </c>
      <c r="U172" s="39">
        <f>SUM(I172:T172)</f>
        <v>3000</v>
      </c>
    </row>
    <row r="173" spans="1:21" ht="15.75" hidden="1" thickBot="1" x14ac:dyDescent="0.35">
      <c r="A173" s="126"/>
      <c r="B173" s="126"/>
      <c r="C173" s="126"/>
      <c r="D173" s="126"/>
      <c r="E173" s="126"/>
      <c r="G173" s="30" t="s">
        <v>1</v>
      </c>
      <c r="H173" s="31"/>
      <c r="I173" s="32">
        <f>SUM(I169:I172)</f>
        <v>0</v>
      </c>
      <c r="J173" s="32">
        <f t="shared" ref="J173:U173" si="43">SUM(J169:J172)</f>
        <v>0</v>
      </c>
      <c r="K173" s="32">
        <f t="shared" si="43"/>
        <v>5500</v>
      </c>
      <c r="L173" s="32">
        <f t="shared" si="43"/>
        <v>0</v>
      </c>
      <c r="M173" s="32">
        <f t="shared" si="43"/>
        <v>0</v>
      </c>
      <c r="N173" s="32">
        <f t="shared" si="43"/>
        <v>5500</v>
      </c>
      <c r="O173" s="32">
        <f t="shared" si="43"/>
        <v>0</v>
      </c>
      <c r="P173" s="32">
        <f t="shared" si="43"/>
        <v>11000</v>
      </c>
      <c r="Q173" s="32">
        <f t="shared" si="43"/>
        <v>5500</v>
      </c>
      <c r="R173" s="32">
        <f t="shared" si="43"/>
        <v>0</v>
      </c>
      <c r="S173" s="32">
        <f t="shared" si="43"/>
        <v>0</v>
      </c>
      <c r="T173" s="32">
        <f t="shared" si="43"/>
        <v>5500</v>
      </c>
      <c r="U173" s="33">
        <f t="shared" si="43"/>
        <v>33000</v>
      </c>
    </row>
    <row r="174" spans="1:21" hidden="1" x14ac:dyDescent="0.3">
      <c r="A174" s="126"/>
      <c r="B174" s="126"/>
      <c r="C174" s="126"/>
      <c r="D174" s="126"/>
      <c r="E174" s="126"/>
      <c r="G174" s="26" t="s">
        <v>57</v>
      </c>
      <c r="H174" s="24"/>
      <c r="I174" s="24"/>
      <c r="J174" s="24"/>
      <c r="K174" s="24"/>
      <c r="L174" s="24"/>
      <c r="M174" s="24"/>
      <c r="N174" s="24"/>
      <c r="O174" s="24"/>
      <c r="P174" s="24"/>
      <c r="Q174" s="24"/>
      <c r="R174" s="24"/>
      <c r="S174" s="24"/>
      <c r="T174" s="24"/>
      <c r="U174" s="34"/>
    </row>
    <row r="175" spans="1:21" hidden="1" x14ac:dyDescent="0.3">
      <c r="A175" s="126"/>
      <c r="B175" s="126"/>
      <c r="C175" s="126"/>
      <c r="D175" s="126"/>
      <c r="E175" s="126"/>
      <c r="G175" s="27" t="s">
        <v>41</v>
      </c>
      <c r="H175" s="24"/>
      <c r="I175" s="28">
        <v>250</v>
      </c>
      <c r="J175" s="28">
        <v>250</v>
      </c>
      <c r="K175" s="28">
        <v>250</v>
      </c>
      <c r="L175" s="28">
        <v>250</v>
      </c>
      <c r="M175" s="28">
        <v>250</v>
      </c>
      <c r="N175" s="28">
        <v>250</v>
      </c>
      <c r="O175" s="28">
        <v>250</v>
      </c>
      <c r="P175" s="28">
        <v>250</v>
      </c>
      <c r="Q175" s="28">
        <v>250</v>
      </c>
      <c r="R175" s="28">
        <v>250</v>
      </c>
      <c r="S175" s="28">
        <v>250</v>
      </c>
      <c r="T175" s="28">
        <v>250</v>
      </c>
      <c r="U175" s="29">
        <f>SUM(I175:T175)</f>
        <v>3000</v>
      </c>
    </row>
    <row r="176" spans="1:21" hidden="1" x14ac:dyDescent="0.3">
      <c r="A176" s="126"/>
      <c r="B176" s="126"/>
      <c r="C176" s="126"/>
      <c r="D176" s="126"/>
      <c r="E176" s="126"/>
      <c r="G176" s="27" t="s">
        <v>42</v>
      </c>
      <c r="H176" s="24"/>
      <c r="I176" s="28">
        <v>300</v>
      </c>
      <c r="J176" s="28">
        <v>300</v>
      </c>
      <c r="K176" s="28">
        <v>300</v>
      </c>
      <c r="L176" s="28">
        <v>300</v>
      </c>
      <c r="M176" s="28">
        <v>300</v>
      </c>
      <c r="N176" s="28">
        <v>300</v>
      </c>
      <c r="O176" s="28">
        <v>300</v>
      </c>
      <c r="P176" s="28">
        <v>300</v>
      </c>
      <c r="Q176" s="28">
        <v>300</v>
      </c>
      <c r="R176" s="28">
        <v>300</v>
      </c>
      <c r="S176" s="28">
        <v>300</v>
      </c>
      <c r="T176" s="28">
        <v>300</v>
      </c>
      <c r="U176" s="29">
        <f t="shared" ref="U176:U181" si="44">SUM(I176:T176)</f>
        <v>3600</v>
      </c>
    </row>
    <row r="177" spans="1:21" hidden="1" x14ac:dyDescent="0.3">
      <c r="A177" s="126"/>
      <c r="B177" s="126"/>
      <c r="C177" s="126"/>
      <c r="D177" s="126"/>
      <c r="E177" s="126"/>
      <c r="G177" s="27" t="s">
        <v>43</v>
      </c>
      <c r="H177" s="24"/>
      <c r="I177" s="28">
        <v>50</v>
      </c>
      <c r="J177" s="28">
        <v>50</v>
      </c>
      <c r="K177" s="28">
        <v>50</v>
      </c>
      <c r="L177" s="28">
        <v>50</v>
      </c>
      <c r="M177" s="28">
        <v>50</v>
      </c>
      <c r="N177" s="28">
        <v>50</v>
      </c>
      <c r="O177" s="28">
        <v>50</v>
      </c>
      <c r="P177" s="28">
        <v>50</v>
      </c>
      <c r="Q177" s="28">
        <v>50</v>
      </c>
      <c r="R177" s="28">
        <v>50</v>
      </c>
      <c r="S177" s="28">
        <v>50</v>
      </c>
      <c r="T177" s="28">
        <v>50</v>
      </c>
      <c r="U177" s="29">
        <f t="shared" si="44"/>
        <v>600</v>
      </c>
    </row>
    <row r="178" spans="1:21" hidden="1" x14ac:dyDescent="0.3">
      <c r="A178" s="126"/>
      <c r="B178" s="126"/>
      <c r="C178" s="126"/>
      <c r="D178" s="126"/>
      <c r="E178" s="126"/>
      <c r="G178" s="27" t="s">
        <v>44</v>
      </c>
      <c r="H178" s="24"/>
      <c r="I178" s="28">
        <v>25</v>
      </c>
      <c r="J178" s="28">
        <v>25</v>
      </c>
      <c r="K178" s="28">
        <v>25</v>
      </c>
      <c r="L178" s="28">
        <v>25</v>
      </c>
      <c r="M178" s="28">
        <v>25</v>
      </c>
      <c r="N178" s="28">
        <v>25</v>
      </c>
      <c r="O178" s="28">
        <v>25</v>
      </c>
      <c r="P178" s="28">
        <v>25</v>
      </c>
      <c r="Q178" s="28">
        <v>25</v>
      </c>
      <c r="R178" s="28">
        <v>25</v>
      </c>
      <c r="S178" s="28">
        <v>25</v>
      </c>
      <c r="T178" s="28">
        <v>25</v>
      </c>
      <c r="U178" s="29">
        <f t="shared" si="44"/>
        <v>300</v>
      </c>
    </row>
    <row r="179" spans="1:21" hidden="1" x14ac:dyDescent="0.3">
      <c r="A179" s="126"/>
      <c r="B179" s="126"/>
      <c r="C179" s="126"/>
      <c r="D179" s="126"/>
      <c r="E179" s="126"/>
      <c r="G179" s="27" t="s">
        <v>45</v>
      </c>
      <c r="H179" s="24"/>
      <c r="I179" s="28">
        <v>350</v>
      </c>
      <c r="J179" s="28">
        <v>350</v>
      </c>
      <c r="K179" s="28">
        <v>350</v>
      </c>
      <c r="L179" s="28">
        <v>350</v>
      </c>
      <c r="M179" s="28">
        <v>350</v>
      </c>
      <c r="N179" s="28">
        <v>350</v>
      </c>
      <c r="O179" s="28">
        <v>350</v>
      </c>
      <c r="P179" s="28">
        <v>350</v>
      </c>
      <c r="Q179" s="28">
        <v>350</v>
      </c>
      <c r="R179" s="28">
        <v>350</v>
      </c>
      <c r="S179" s="28">
        <v>350</v>
      </c>
      <c r="T179" s="28">
        <v>350</v>
      </c>
      <c r="U179" s="29">
        <f t="shared" si="44"/>
        <v>4200</v>
      </c>
    </row>
    <row r="180" spans="1:21" hidden="1" x14ac:dyDescent="0.3">
      <c r="A180" s="126"/>
      <c r="B180" s="126"/>
      <c r="C180" s="126"/>
      <c r="D180" s="126"/>
      <c r="E180" s="126"/>
      <c r="G180" s="27" t="s">
        <v>46</v>
      </c>
      <c r="H180" s="24"/>
      <c r="I180" s="28">
        <v>100</v>
      </c>
      <c r="J180" s="28">
        <v>100</v>
      </c>
      <c r="K180" s="28">
        <v>1000</v>
      </c>
      <c r="L180" s="28">
        <v>100</v>
      </c>
      <c r="M180" s="28">
        <v>100</v>
      </c>
      <c r="N180" s="28">
        <v>1000</v>
      </c>
      <c r="O180" s="28">
        <v>100</v>
      </c>
      <c r="P180" s="28">
        <v>100</v>
      </c>
      <c r="Q180" s="28">
        <v>1000</v>
      </c>
      <c r="R180" s="28">
        <v>100</v>
      </c>
      <c r="S180" s="28">
        <v>100</v>
      </c>
      <c r="T180" s="28">
        <v>1000</v>
      </c>
      <c r="U180" s="29">
        <f t="shared" si="44"/>
        <v>4800</v>
      </c>
    </row>
    <row r="181" spans="1:21" hidden="1" x14ac:dyDescent="0.3">
      <c r="A181" s="126"/>
      <c r="B181" s="126"/>
      <c r="C181" s="126"/>
      <c r="D181" s="126"/>
      <c r="E181" s="126"/>
      <c r="F181" s="35">
        <v>0.25</v>
      </c>
      <c r="G181" s="36" t="str">
        <f>"Contigency"&amp;" "&amp;"at"&amp;" "&amp;(F181*100)&amp;"%"</f>
        <v>Contigency at 25%</v>
      </c>
      <c r="H181" s="37"/>
      <c r="I181" s="38">
        <f>SUM(I175:I180)*$F$40</f>
        <v>268.75</v>
      </c>
      <c r="J181" s="38">
        <f>SUM(J175:J180)*$F$40</f>
        <v>268.75</v>
      </c>
      <c r="K181" s="38">
        <f t="shared" ref="K181:T181" si="45">SUM(K175:K180)*$F$40</f>
        <v>493.75</v>
      </c>
      <c r="L181" s="38">
        <f t="shared" si="45"/>
        <v>268.75</v>
      </c>
      <c r="M181" s="38">
        <f t="shared" si="45"/>
        <v>268.75</v>
      </c>
      <c r="N181" s="38">
        <f t="shared" si="45"/>
        <v>493.75</v>
      </c>
      <c r="O181" s="38">
        <f t="shared" si="45"/>
        <v>268.75</v>
      </c>
      <c r="P181" s="38">
        <f t="shared" si="45"/>
        <v>268.75</v>
      </c>
      <c r="Q181" s="38">
        <f t="shared" si="45"/>
        <v>493.75</v>
      </c>
      <c r="R181" s="38">
        <f t="shared" si="45"/>
        <v>268.75</v>
      </c>
      <c r="S181" s="38">
        <f t="shared" si="45"/>
        <v>268.75</v>
      </c>
      <c r="T181" s="38">
        <f t="shared" si="45"/>
        <v>493.75</v>
      </c>
      <c r="U181" s="39">
        <f t="shared" si="44"/>
        <v>4125</v>
      </c>
    </row>
    <row r="182" spans="1:21" ht="15.75" hidden="1" thickBot="1" x14ac:dyDescent="0.35">
      <c r="A182" s="126"/>
      <c r="B182" s="126"/>
      <c r="C182" s="126"/>
      <c r="D182" s="126"/>
      <c r="E182" s="126"/>
      <c r="G182" s="30" t="s">
        <v>1</v>
      </c>
      <c r="H182" s="31"/>
      <c r="I182" s="32">
        <f>SUM(I175:I180)</f>
        <v>1075</v>
      </c>
      <c r="J182" s="32">
        <f t="shared" ref="J182:U182" si="46">SUM(J175:J180)</f>
        <v>1075</v>
      </c>
      <c r="K182" s="32">
        <f t="shared" si="46"/>
        <v>1975</v>
      </c>
      <c r="L182" s="32">
        <f t="shared" si="46"/>
        <v>1075</v>
      </c>
      <c r="M182" s="32">
        <f t="shared" si="46"/>
        <v>1075</v>
      </c>
      <c r="N182" s="32">
        <f t="shared" si="46"/>
        <v>1975</v>
      </c>
      <c r="O182" s="32">
        <f t="shared" si="46"/>
        <v>1075</v>
      </c>
      <c r="P182" s="32">
        <f t="shared" si="46"/>
        <v>1075</v>
      </c>
      <c r="Q182" s="32">
        <f t="shared" si="46"/>
        <v>1975</v>
      </c>
      <c r="R182" s="32">
        <f t="shared" si="46"/>
        <v>1075</v>
      </c>
      <c r="S182" s="32">
        <f t="shared" si="46"/>
        <v>1075</v>
      </c>
      <c r="T182" s="32">
        <f t="shared" si="46"/>
        <v>1975</v>
      </c>
      <c r="U182" s="33">
        <f t="shared" si="46"/>
        <v>16500</v>
      </c>
    </row>
    <row r="183" spans="1:21" hidden="1" x14ac:dyDescent="0.3">
      <c r="A183" s="126"/>
      <c r="B183" s="126"/>
      <c r="C183" s="126"/>
      <c r="D183" s="126"/>
      <c r="E183" s="126"/>
      <c r="G183" s="26" t="s">
        <v>56</v>
      </c>
      <c r="H183" s="24"/>
      <c r="I183" s="28"/>
      <c r="J183" s="28"/>
      <c r="K183" s="28"/>
      <c r="L183" s="28"/>
      <c r="M183" s="28"/>
      <c r="N183" s="28"/>
      <c r="O183" s="28"/>
      <c r="P183" s="28"/>
      <c r="Q183" s="28"/>
      <c r="R183" s="28"/>
      <c r="S183" s="28"/>
      <c r="T183" s="28"/>
      <c r="U183" s="34"/>
    </row>
    <row r="184" spans="1:21" hidden="1" x14ac:dyDescent="0.3">
      <c r="A184" s="126"/>
      <c r="B184" s="126"/>
      <c r="C184" s="126"/>
      <c r="D184" s="126"/>
      <c r="E184" s="126"/>
      <c r="G184" s="40" t="s">
        <v>52</v>
      </c>
      <c r="H184" s="24"/>
      <c r="I184" s="28"/>
      <c r="J184" s="28"/>
      <c r="K184" s="28"/>
      <c r="L184" s="28"/>
      <c r="M184" s="28"/>
      <c r="N184" s="28"/>
      <c r="O184" s="28"/>
      <c r="P184" s="28"/>
      <c r="Q184" s="28"/>
      <c r="R184" s="28"/>
      <c r="S184" s="28"/>
      <c r="T184" s="28"/>
      <c r="U184" s="41">
        <f>SUM(I184:T184)</f>
        <v>0</v>
      </c>
    </row>
    <row r="185" spans="1:21" hidden="1" x14ac:dyDescent="0.3">
      <c r="A185" s="126"/>
      <c r="B185" s="126"/>
      <c r="C185" s="126"/>
      <c r="D185" s="126"/>
      <c r="E185" s="126"/>
      <c r="G185" s="40" t="s">
        <v>46</v>
      </c>
      <c r="H185" s="24"/>
      <c r="I185" s="28"/>
      <c r="J185" s="28"/>
      <c r="K185" s="28"/>
      <c r="L185" s="28"/>
      <c r="M185" s="28"/>
      <c r="N185" s="28"/>
      <c r="O185" s="28"/>
      <c r="P185" s="28"/>
      <c r="Q185" s="28"/>
      <c r="R185" s="28"/>
      <c r="S185" s="28"/>
      <c r="T185" s="28"/>
      <c r="U185" s="41">
        <f>SUM(I185:T185)</f>
        <v>0</v>
      </c>
    </row>
    <row r="186" spans="1:21" hidden="1" x14ac:dyDescent="0.3">
      <c r="A186" s="126"/>
      <c r="B186" s="126"/>
      <c r="C186" s="126"/>
      <c r="D186" s="126"/>
      <c r="E186" s="126"/>
      <c r="F186" s="35">
        <v>0.1</v>
      </c>
      <c r="G186" s="36" t="str">
        <f>"Contigency"&amp;" "&amp;"at"&amp;" "&amp;(F186*100)&amp;"%"</f>
        <v>Contigency at 10%</v>
      </c>
      <c r="H186" s="24"/>
      <c r="I186" s="28">
        <f>SUM(I184:I185)*$F$50</f>
        <v>0</v>
      </c>
      <c r="J186" s="28">
        <f>SUM(J184:J185)*$F$50</f>
        <v>0</v>
      </c>
      <c r="K186" s="28">
        <f t="shared" ref="K186:T186" si="47">SUM(K184:K185)*$F$50</f>
        <v>0</v>
      </c>
      <c r="L186" s="28">
        <f t="shared" si="47"/>
        <v>0</v>
      </c>
      <c r="M186" s="28">
        <f t="shared" si="47"/>
        <v>0</v>
      </c>
      <c r="N186" s="28">
        <f t="shared" si="47"/>
        <v>0</v>
      </c>
      <c r="O186" s="28">
        <f t="shared" si="47"/>
        <v>0</v>
      </c>
      <c r="P186" s="28">
        <f t="shared" si="47"/>
        <v>0</v>
      </c>
      <c r="Q186" s="28">
        <f t="shared" si="47"/>
        <v>0</v>
      </c>
      <c r="R186" s="28">
        <f t="shared" si="47"/>
        <v>0</v>
      </c>
      <c r="S186" s="28">
        <f t="shared" si="47"/>
        <v>0</v>
      </c>
      <c r="T186" s="28">
        <f t="shared" si="47"/>
        <v>0</v>
      </c>
      <c r="U186" s="41">
        <f>SUM(I186:T186)</f>
        <v>0</v>
      </c>
    </row>
    <row r="187" spans="1:21" ht="15.75" hidden="1" thickBot="1" x14ac:dyDescent="0.35">
      <c r="A187" s="126"/>
      <c r="B187" s="126"/>
      <c r="C187" s="126"/>
      <c r="D187" s="126"/>
      <c r="E187" s="126"/>
      <c r="G187" s="30" t="s">
        <v>1</v>
      </c>
      <c r="H187" s="31"/>
      <c r="I187" s="32">
        <f t="shared" ref="I187:U187" si="48">SUM(I181:I185)</f>
        <v>1343.75</v>
      </c>
      <c r="J187" s="32">
        <f t="shared" si="48"/>
        <v>1343.75</v>
      </c>
      <c r="K187" s="32">
        <f t="shared" si="48"/>
        <v>2468.75</v>
      </c>
      <c r="L187" s="32">
        <f t="shared" si="48"/>
        <v>1343.75</v>
      </c>
      <c r="M187" s="32">
        <f t="shared" si="48"/>
        <v>1343.75</v>
      </c>
      <c r="N187" s="32">
        <f t="shared" si="48"/>
        <v>2468.75</v>
      </c>
      <c r="O187" s="32">
        <f t="shared" si="48"/>
        <v>1343.75</v>
      </c>
      <c r="P187" s="32">
        <f t="shared" si="48"/>
        <v>1343.75</v>
      </c>
      <c r="Q187" s="32">
        <f t="shared" si="48"/>
        <v>2468.75</v>
      </c>
      <c r="R187" s="32">
        <f t="shared" si="48"/>
        <v>1343.75</v>
      </c>
      <c r="S187" s="32">
        <f t="shared" si="48"/>
        <v>1343.75</v>
      </c>
      <c r="T187" s="32">
        <f t="shared" si="48"/>
        <v>2468.75</v>
      </c>
      <c r="U187" s="33">
        <f t="shared" si="48"/>
        <v>20625</v>
      </c>
    </row>
    <row r="188" spans="1:21" hidden="1" x14ac:dyDescent="0.3">
      <c r="A188" s="126"/>
      <c r="B188" s="126"/>
      <c r="C188" s="126"/>
      <c r="D188" s="126"/>
      <c r="E188" s="126"/>
      <c r="G188" s="26" t="s">
        <v>58</v>
      </c>
      <c r="H188" s="24"/>
      <c r="I188" s="24"/>
      <c r="J188" s="24"/>
      <c r="K188" s="24"/>
      <c r="L188" s="24"/>
      <c r="M188" s="24"/>
      <c r="N188" s="24"/>
      <c r="O188" s="24"/>
      <c r="P188" s="24"/>
      <c r="Q188" s="24"/>
      <c r="R188" s="24"/>
      <c r="S188" s="24"/>
      <c r="T188" s="24"/>
      <c r="U188" s="34"/>
    </row>
    <row r="189" spans="1:21" hidden="1" x14ac:dyDescent="0.3">
      <c r="A189" s="126"/>
      <c r="B189" s="126"/>
      <c r="C189" s="126"/>
      <c r="D189" s="126"/>
      <c r="E189" s="126"/>
      <c r="G189" s="27" t="s">
        <v>47</v>
      </c>
      <c r="H189" s="24"/>
      <c r="I189" s="28"/>
      <c r="J189" s="28"/>
      <c r="K189" s="28"/>
      <c r="L189" s="28"/>
      <c r="M189" s="28"/>
      <c r="N189" s="28"/>
      <c r="O189" s="28"/>
      <c r="P189" s="28"/>
      <c r="Q189" s="28"/>
      <c r="R189" s="28"/>
      <c r="S189" s="28"/>
      <c r="T189" s="28"/>
      <c r="U189" s="29"/>
    </row>
    <row r="190" spans="1:21" hidden="1" x14ac:dyDescent="0.3">
      <c r="A190" s="126"/>
      <c r="B190" s="126"/>
      <c r="C190" s="126"/>
      <c r="D190" s="126"/>
      <c r="E190" s="126"/>
      <c r="G190" s="27" t="s">
        <v>30</v>
      </c>
      <c r="H190" s="24"/>
      <c r="I190" s="28">
        <f>INDEX('Travel Budget'!$K$20:$K$31,MATCH('Budget 2020'!I$6,'Travel Budget'!$E$20:$E$31,0))</f>
        <v>0</v>
      </c>
      <c r="J190" s="28">
        <f>INDEX('Travel Budget'!$K$20:$K$31,MATCH('Budget 2020'!J$6,'Travel Budget'!$E$20:$E$31,0))</f>
        <v>7080</v>
      </c>
      <c r="K190" s="28">
        <f>INDEX('Travel Budget'!$K$20:$K$31,MATCH('Budget 2020'!K$6,'Travel Budget'!$E$20:$E$31,0))</f>
        <v>0</v>
      </c>
      <c r="L190" s="28">
        <f>INDEX('Travel Budget'!$K$20:$K$31,MATCH('Budget 2020'!L$6,'Travel Budget'!$E$20:$E$31,0))</f>
        <v>0</v>
      </c>
      <c r="M190" s="28">
        <f>INDEX('Travel Budget'!$K$20:$K$31,MATCH('Budget 2020'!M$6,'Travel Budget'!$E$20:$E$31,0))</f>
        <v>0</v>
      </c>
      <c r="N190" s="28">
        <f>INDEX('Travel Budget'!$K$20:$K$31,MATCH('Budget 2020'!N$6,'Travel Budget'!$E$20:$E$31,0))</f>
        <v>0</v>
      </c>
      <c r="O190" s="28">
        <f>INDEX('Travel Budget'!$K$20:$K$31,MATCH('Budget 2020'!O$6,'Travel Budget'!$E$20:$E$31,0))</f>
        <v>7850</v>
      </c>
      <c r="P190" s="28">
        <f>INDEX('Travel Budget'!$K$20:$K$31,MATCH('Budget 2020'!P$6,'Travel Budget'!$E$20:$E$31,0))</f>
        <v>0</v>
      </c>
      <c r="Q190" s="28">
        <f>INDEX('Travel Budget'!$K$20:$K$31,MATCH('Budget 2020'!Q$6,'Travel Budget'!$E$20:$E$31,0))</f>
        <v>7850</v>
      </c>
      <c r="R190" s="28">
        <f>INDEX('Travel Budget'!$K$20:$K$31,MATCH('Budget 2020'!R$6,'Travel Budget'!$E$20:$E$31,0))</f>
        <v>27190</v>
      </c>
      <c r="S190" s="28">
        <f>INDEX('Travel Budget'!$K$20:$K$31,MATCH('Budget 2020'!S$6,'Travel Budget'!$E$20:$E$31,0))</f>
        <v>0</v>
      </c>
      <c r="T190" s="28">
        <f>INDEX('Travel Budget'!$K$20:$K$31,MATCH('Budget 2020'!T$6,'Travel Budget'!$E$20:$E$31,0))</f>
        <v>0</v>
      </c>
      <c r="U190" s="29">
        <f>SUM(I190:T190)</f>
        <v>49970</v>
      </c>
    </row>
    <row r="191" spans="1:21" hidden="1" x14ac:dyDescent="0.3">
      <c r="A191" s="126"/>
      <c r="B191" s="126"/>
      <c r="C191" s="126"/>
      <c r="D191" s="126"/>
      <c r="E191" s="126"/>
      <c r="G191" s="27" t="s">
        <v>53</v>
      </c>
      <c r="H191" s="24"/>
      <c r="I191" s="28">
        <f>INDEX('Travel Budget'!$K$20:$K$31,MATCH('Budget 2020'!I$6,'Travel Budget'!$E$20:$E$31,0))</f>
        <v>0</v>
      </c>
      <c r="J191" s="28"/>
      <c r="K191" s="28"/>
      <c r="L191" s="28"/>
      <c r="M191" s="28"/>
      <c r="N191" s="28"/>
      <c r="O191" s="28"/>
      <c r="P191" s="28"/>
      <c r="Q191" s="28"/>
      <c r="R191" s="28"/>
      <c r="S191" s="28"/>
      <c r="T191" s="28"/>
      <c r="U191" s="29">
        <f>SUM(I191:T191)</f>
        <v>0</v>
      </c>
    </row>
    <row r="192" spans="1:21" hidden="1" x14ac:dyDescent="0.3">
      <c r="A192" s="126"/>
      <c r="B192" s="126"/>
      <c r="C192" s="126"/>
      <c r="D192" s="126"/>
      <c r="E192" s="126"/>
      <c r="G192" s="27" t="s">
        <v>54</v>
      </c>
      <c r="H192" s="24"/>
      <c r="I192" s="28">
        <v>1000</v>
      </c>
      <c r="J192" s="28"/>
      <c r="K192" s="28">
        <v>1000</v>
      </c>
      <c r="L192" s="28"/>
      <c r="M192" s="28"/>
      <c r="N192" s="28"/>
      <c r="O192" s="28"/>
      <c r="P192" s="28"/>
      <c r="Q192" s="28"/>
      <c r="R192" s="28"/>
      <c r="S192" s="28"/>
      <c r="T192" s="28"/>
      <c r="U192" s="29">
        <f>SUM(I192:T192)</f>
        <v>2000</v>
      </c>
    </row>
    <row r="193" spans="1:21" hidden="1" x14ac:dyDescent="0.3">
      <c r="A193" s="126"/>
      <c r="B193" s="126"/>
      <c r="C193" s="126"/>
      <c r="D193" s="126"/>
      <c r="E193" s="126"/>
      <c r="G193" s="27" t="s">
        <v>46</v>
      </c>
      <c r="H193" s="24"/>
      <c r="I193" s="28"/>
      <c r="J193" s="28"/>
      <c r="K193" s="28"/>
      <c r="L193" s="28"/>
      <c r="M193" s="28"/>
      <c r="N193" s="28"/>
      <c r="O193" s="28"/>
      <c r="P193" s="28"/>
      <c r="Q193" s="28"/>
      <c r="R193" s="28"/>
      <c r="S193" s="28"/>
      <c r="T193" s="28"/>
      <c r="U193" s="29">
        <f>SUM(I193:T193)</f>
        <v>0</v>
      </c>
    </row>
    <row r="194" spans="1:21" hidden="1" x14ac:dyDescent="0.3">
      <c r="A194" s="126"/>
      <c r="B194" s="126"/>
      <c r="C194" s="126"/>
      <c r="D194" s="126"/>
      <c r="E194" s="126"/>
      <c r="F194" s="35">
        <v>0.1</v>
      </c>
      <c r="G194" s="36" t="str">
        <f>"Contigency"&amp;" "&amp;"at"&amp;" "&amp;(F194*100)&amp;"%"</f>
        <v>Contigency at 10%</v>
      </c>
      <c r="H194" s="37"/>
      <c r="I194" s="38">
        <f>SUM(I189:I193)*$F$63</f>
        <v>100</v>
      </c>
      <c r="J194" s="38">
        <f>SUM(J189:J193)*$F$63</f>
        <v>708</v>
      </c>
      <c r="K194" s="38">
        <f t="shared" ref="K194:T194" si="49">SUM(K189:K193)*$F$63</f>
        <v>100</v>
      </c>
      <c r="L194" s="38">
        <f t="shared" si="49"/>
        <v>0</v>
      </c>
      <c r="M194" s="38">
        <f t="shared" si="49"/>
        <v>0</v>
      </c>
      <c r="N194" s="38">
        <f t="shared" si="49"/>
        <v>0</v>
      </c>
      <c r="O194" s="38">
        <f t="shared" si="49"/>
        <v>785</v>
      </c>
      <c r="P194" s="38">
        <f t="shared" si="49"/>
        <v>0</v>
      </c>
      <c r="Q194" s="38">
        <f t="shared" si="49"/>
        <v>785</v>
      </c>
      <c r="R194" s="38">
        <f t="shared" si="49"/>
        <v>2719</v>
      </c>
      <c r="S194" s="38">
        <f t="shared" si="49"/>
        <v>0</v>
      </c>
      <c r="T194" s="38">
        <f t="shared" si="49"/>
        <v>0</v>
      </c>
      <c r="U194" s="39">
        <f>SUM(I194:T194)</f>
        <v>5197</v>
      </c>
    </row>
    <row r="195" spans="1:21" ht="15.75" hidden="1" thickBot="1" x14ac:dyDescent="0.35">
      <c r="A195" s="126"/>
      <c r="B195" s="126"/>
      <c r="C195" s="126"/>
      <c r="D195" s="126"/>
      <c r="E195" s="126"/>
      <c r="G195" s="30" t="s">
        <v>1</v>
      </c>
      <c r="H195" s="31"/>
      <c r="I195" s="32">
        <f>SUM(I189:I194)</f>
        <v>1100</v>
      </c>
      <c r="J195" s="32">
        <f t="shared" ref="J195:T195" si="50">SUM(J189:J194)</f>
        <v>7788</v>
      </c>
      <c r="K195" s="32">
        <f t="shared" si="50"/>
        <v>1100</v>
      </c>
      <c r="L195" s="32">
        <f t="shared" si="50"/>
        <v>0</v>
      </c>
      <c r="M195" s="32">
        <f t="shared" si="50"/>
        <v>0</v>
      </c>
      <c r="N195" s="32">
        <f t="shared" si="50"/>
        <v>0</v>
      </c>
      <c r="O195" s="32">
        <f t="shared" si="50"/>
        <v>8635</v>
      </c>
      <c r="P195" s="32">
        <f t="shared" si="50"/>
        <v>0</v>
      </c>
      <c r="Q195" s="32">
        <f t="shared" si="50"/>
        <v>8635</v>
      </c>
      <c r="R195" s="32">
        <f t="shared" si="50"/>
        <v>29909</v>
      </c>
      <c r="S195" s="32">
        <f t="shared" si="50"/>
        <v>0</v>
      </c>
      <c r="T195" s="32">
        <f t="shared" si="50"/>
        <v>0</v>
      </c>
      <c r="U195" s="33">
        <f>SUM(U189:U193)</f>
        <v>51970</v>
      </c>
    </row>
    <row r="196" spans="1:21" hidden="1" x14ac:dyDescent="0.3">
      <c r="A196" s="126"/>
      <c r="B196" s="126"/>
      <c r="C196" s="126"/>
      <c r="D196" s="126"/>
      <c r="E196" s="126"/>
      <c r="G196" s="26" t="s">
        <v>55</v>
      </c>
      <c r="H196" s="24"/>
      <c r="I196" s="24"/>
      <c r="J196" s="24"/>
      <c r="K196" s="24"/>
      <c r="L196" s="24"/>
      <c r="M196" s="24"/>
      <c r="N196" s="24"/>
      <c r="O196" s="24"/>
      <c r="P196" s="24"/>
      <c r="Q196" s="24"/>
      <c r="R196" s="24"/>
      <c r="S196" s="24"/>
      <c r="T196" s="24"/>
      <c r="U196" s="34"/>
    </row>
    <row r="197" spans="1:21" hidden="1" x14ac:dyDescent="0.3">
      <c r="A197" s="126"/>
      <c r="B197" s="126"/>
      <c r="C197" s="126"/>
      <c r="D197" s="126"/>
      <c r="E197" s="126"/>
      <c r="G197" s="27" t="s">
        <v>60</v>
      </c>
      <c r="H197" s="24"/>
      <c r="I197" s="28"/>
      <c r="J197" s="28"/>
      <c r="K197" s="28"/>
      <c r="L197" s="28"/>
      <c r="M197" s="28"/>
      <c r="N197" s="28"/>
      <c r="O197" s="28"/>
      <c r="P197" s="28"/>
      <c r="Q197" s="28">
        <v>125000</v>
      </c>
      <c r="R197" s="28"/>
      <c r="S197" s="28"/>
      <c r="T197" s="28"/>
      <c r="U197" s="29">
        <f>SUM(I197:T197)</f>
        <v>125000</v>
      </c>
    </row>
    <row r="198" spans="1:21" hidden="1" x14ac:dyDescent="0.3">
      <c r="A198" s="126"/>
      <c r="B198" s="126"/>
      <c r="C198" s="126"/>
      <c r="D198" s="126"/>
      <c r="E198" s="126"/>
      <c r="G198" s="27" t="s">
        <v>61</v>
      </c>
      <c r="H198" s="24"/>
      <c r="I198" s="28"/>
      <c r="J198" s="28"/>
      <c r="K198" s="28"/>
      <c r="L198" s="28"/>
      <c r="M198" s="28"/>
      <c r="N198" s="28"/>
      <c r="O198" s="28"/>
      <c r="P198" s="28"/>
      <c r="Q198" s="28">
        <v>20000</v>
      </c>
      <c r="R198" s="28"/>
      <c r="S198" s="28"/>
      <c r="T198" s="28"/>
      <c r="U198" s="29">
        <f>SUM(I198:T198)</f>
        <v>20000</v>
      </c>
    </row>
    <row r="199" spans="1:21" hidden="1" x14ac:dyDescent="0.3">
      <c r="A199" s="126"/>
      <c r="B199" s="126"/>
      <c r="C199" s="126"/>
      <c r="D199" s="126"/>
      <c r="E199" s="126"/>
      <c r="G199" s="27" t="s">
        <v>62</v>
      </c>
      <c r="H199" s="24"/>
      <c r="I199" s="28"/>
      <c r="J199" s="28"/>
      <c r="K199" s="28"/>
      <c r="L199" s="28"/>
      <c r="M199" s="28"/>
      <c r="N199" s="28"/>
      <c r="O199" s="28"/>
      <c r="P199" s="28"/>
      <c r="Q199" s="28">
        <v>75000</v>
      </c>
      <c r="R199" s="28"/>
      <c r="S199" s="28"/>
      <c r="T199" s="28"/>
      <c r="U199" s="29">
        <f>SUM(I199:T199)</f>
        <v>75000</v>
      </c>
    </row>
    <row r="200" spans="1:21" hidden="1" x14ac:dyDescent="0.3">
      <c r="A200" s="126"/>
      <c r="B200" s="126"/>
      <c r="C200" s="126"/>
      <c r="D200" s="126"/>
      <c r="E200" s="126"/>
      <c r="G200" s="27" t="s">
        <v>46</v>
      </c>
      <c r="H200" s="24"/>
      <c r="I200" s="28"/>
      <c r="J200" s="28"/>
      <c r="K200" s="28"/>
      <c r="L200" s="28"/>
      <c r="M200" s="28"/>
      <c r="N200" s="28"/>
      <c r="O200" s="28"/>
      <c r="P200" s="28"/>
      <c r="Q200" s="28"/>
      <c r="R200" s="28"/>
      <c r="S200" s="28"/>
      <c r="T200" s="28"/>
      <c r="U200" s="29">
        <f>SUM(I200:T200)</f>
        <v>0</v>
      </c>
    </row>
    <row r="201" spans="1:21" hidden="1" x14ac:dyDescent="0.3">
      <c r="A201" s="126"/>
      <c r="B201" s="126"/>
      <c r="C201" s="126"/>
      <c r="D201" s="126"/>
      <c r="E201" s="126"/>
      <c r="F201" s="35">
        <v>0.1</v>
      </c>
      <c r="G201" s="36" t="str">
        <f>"Contigency"&amp;" "&amp;"at"&amp;" "&amp;(F201*100)&amp;"%"</f>
        <v>Contigency at 10%</v>
      </c>
      <c r="H201" s="24"/>
      <c r="I201" s="28">
        <f>SUM(I197:I200)*$F$71</f>
        <v>0</v>
      </c>
      <c r="J201" s="28">
        <f>SUM(J197:J200)*$F$71</f>
        <v>0</v>
      </c>
      <c r="K201" s="28">
        <f t="shared" ref="K201:T201" si="51">SUM(K197:K200)*$F$71</f>
        <v>0</v>
      </c>
      <c r="L201" s="28">
        <f t="shared" si="51"/>
        <v>0</v>
      </c>
      <c r="M201" s="28">
        <f t="shared" si="51"/>
        <v>0</v>
      </c>
      <c r="N201" s="28">
        <f t="shared" si="51"/>
        <v>0</v>
      </c>
      <c r="O201" s="28">
        <f t="shared" si="51"/>
        <v>0</v>
      </c>
      <c r="P201" s="28">
        <f t="shared" si="51"/>
        <v>0</v>
      </c>
      <c r="Q201" s="28">
        <f t="shared" si="51"/>
        <v>0</v>
      </c>
      <c r="R201" s="28">
        <f t="shared" si="51"/>
        <v>0</v>
      </c>
      <c r="S201" s="28">
        <f t="shared" si="51"/>
        <v>0</v>
      </c>
      <c r="T201" s="28">
        <f t="shared" si="51"/>
        <v>0</v>
      </c>
      <c r="U201" s="29">
        <f>SUM(I201:T201)</f>
        <v>0</v>
      </c>
    </row>
    <row r="202" spans="1:21" ht="15.75" hidden="1" thickBot="1" x14ac:dyDescent="0.35">
      <c r="A202" s="126"/>
      <c r="B202" s="126"/>
      <c r="C202" s="126"/>
      <c r="D202" s="126"/>
      <c r="E202" s="126"/>
      <c r="G202" s="30" t="s">
        <v>1</v>
      </c>
      <c r="H202" s="31"/>
      <c r="I202" s="32">
        <f t="shared" ref="I202:T202" si="52">SUM(I197:I201)</f>
        <v>0</v>
      </c>
      <c r="J202" s="32">
        <f t="shared" si="52"/>
        <v>0</v>
      </c>
      <c r="K202" s="32">
        <f t="shared" si="52"/>
        <v>0</v>
      </c>
      <c r="L202" s="32">
        <f t="shared" si="52"/>
        <v>0</v>
      </c>
      <c r="M202" s="32">
        <f t="shared" si="52"/>
        <v>0</v>
      </c>
      <c r="N202" s="32">
        <f t="shared" si="52"/>
        <v>0</v>
      </c>
      <c r="O202" s="32">
        <f t="shared" si="52"/>
        <v>0</v>
      </c>
      <c r="P202" s="32">
        <f t="shared" si="52"/>
        <v>0</v>
      </c>
      <c r="Q202" s="32">
        <f t="shared" si="52"/>
        <v>220000</v>
      </c>
      <c r="R202" s="32">
        <f t="shared" si="52"/>
        <v>0</v>
      </c>
      <c r="S202" s="32">
        <f t="shared" si="52"/>
        <v>0</v>
      </c>
      <c r="T202" s="32">
        <f t="shared" si="52"/>
        <v>0</v>
      </c>
      <c r="U202" s="33">
        <f>SUM(U197:U200)</f>
        <v>220000</v>
      </c>
    </row>
    <row r="203" spans="1:21" hidden="1" x14ac:dyDescent="0.3">
      <c r="A203" s="126"/>
      <c r="B203" s="126"/>
      <c r="C203" s="126"/>
      <c r="D203" s="126"/>
      <c r="E203" s="126"/>
      <c r="G203" s="42"/>
      <c r="H203" s="37"/>
      <c r="I203" s="37"/>
      <c r="J203" s="37"/>
      <c r="K203" s="37"/>
      <c r="L203" s="37"/>
      <c r="M203" s="37"/>
      <c r="N203" s="37"/>
      <c r="O203" s="37"/>
      <c r="P203" s="37"/>
      <c r="Q203" s="37"/>
      <c r="R203" s="37"/>
      <c r="S203" s="37"/>
      <c r="T203" s="37"/>
      <c r="U203" s="43"/>
    </row>
    <row r="204" spans="1:21" ht="15.75" hidden="1" thickBot="1" x14ac:dyDescent="0.35">
      <c r="A204" s="126"/>
      <c r="B204" s="126"/>
      <c r="C204" s="126"/>
      <c r="D204" s="126"/>
      <c r="E204" s="126"/>
      <c r="G204" s="134" t="s">
        <v>63</v>
      </c>
      <c r="H204" s="135"/>
      <c r="I204" s="136">
        <f t="shared" ref="I204:U204" si="53">I167+I173+I182+I186+I195+I202</f>
        <v>36641.666666666672</v>
      </c>
      <c r="J204" s="136">
        <f t="shared" si="53"/>
        <v>43329.666666666672</v>
      </c>
      <c r="K204" s="136">
        <f t="shared" si="53"/>
        <v>43041.666666666672</v>
      </c>
      <c r="L204" s="136">
        <f t="shared" si="53"/>
        <v>35541.666666666672</v>
      </c>
      <c r="M204" s="136">
        <f t="shared" si="53"/>
        <v>35541.666666666672</v>
      </c>
      <c r="N204" s="136">
        <f t="shared" si="53"/>
        <v>41941.666666666672</v>
      </c>
      <c r="O204" s="136">
        <f t="shared" si="53"/>
        <v>44176.666666666672</v>
      </c>
      <c r="P204" s="136">
        <f t="shared" si="53"/>
        <v>46541.666666666672</v>
      </c>
      <c r="Q204" s="136">
        <f t="shared" si="53"/>
        <v>270576.66666666669</v>
      </c>
      <c r="R204" s="136">
        <f t="shared" si="53"/>
        <v>65450.666666666672</v>
      </c>
      <c r="S204" s="136">
        <f t="shared" si="53"/>
        <v>35541.666666666672</v>
      </c>
      <c r="T204" s="136">
        <f t="shared" si="53"/>
        <v>41941.666666666672</v>
      </c>
      <c r="U204" s="44">
        <f t="shared" si="53"/>
        <v>735070</v>
      </c>
    </row>
    <row r="205" spans="1:21" hidden="1" x14ac:dyDescent="0.3"/>
    <row r="206" spans="1:21" hidden="1" x14ac:dyDescent="0.3"/>
    <row r="207" spans="1:21" hidden="1" x14ac:dyDescent="0.3"/>
    <row r="208" spans="1:21"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79F1-B166-4200-82DB-9CAF54350ADC}">
  <sheetPr>
    <tabColor rgb="FF00B0F0"/>
  </sheetPr>
  <dimension ref="A1:X75"/>
  <sheetViews>
    <sheetView topLeftCell="F1" workbookViewId="0">
      <selection activeCell="J3" sqref="J3"/>
    </sheetView>
  </sheetViews>
  <sheetFormatPr defaultColWidth="7.109375" defaultRowHeight="12.75" x14ac:dyDescent="0.2"/>
  <cols>
    <col min="1" max="1" width="28.109375" style="210" customWidth="1"/>
    <col min="2" max="7" width="15.33203125" style="210" customWidth="1"/>
    <col min="8" max="8" width="15.77734375" style="210" customWidth="1"/>
    <col min="9" max="12" width="12.44140625" style="210" customWidth="1"/>
    <col min="13" max="13" width="14.6640625" style="210" customWidth="1"/>
    <col min="14" max="14" width="19.109375" style="210" customWidth="1"/>
    <col min="15" max="16384" width="7.109375" style="210"/>
  </cols>
  <sheetData>
    <row r="1" spans="1:23" ht="15.75" x14ac:dyDescent="0.25">
      <c r="A1" s="211" t="s">
        <v>211</v>
      </c>
      <c r="B1" s="211"/>
      <c r="C1" s="211"/>
      <c r="D1" s="211"/>
      <c r="E1" s="211"/>
      <c r="F1" s="211"/>
      <c r="G1" s="211"/>
      <c r="H1" s="211"/>
      <c r="I1" s="211"/>
      <c r="J1" s="211"/>
      <c r="K1" s="211"/>
      <c r="L1" s="211"/>
      <c r="M1" s="211"/>
    </row>
    <row r="2" spans="1:23" ht="15.75" x14ac:dyDescent="0.25">
      <c r="A2" s="211" t="s">
        <v>546</v>
      </c>
      <c r="B2" s="211"/>
      <c r="C2" s="211"/>
      <c r="D2" s="211"/>
      <c r="E2" s="211"/>
      <c r="F2" s="211"/>
      <c r="G2" s="211"/>
      <c r="H2" s="211"/>
      <c r="I2" s="211"/>
      <c r="J2" s="211"/>
      <c r="K2" s="211"/>
      <c r="L2" s="211"/>
      <c r="M2" s="211"/>
    </row>
    <row r="3" spans="1:23" x14ac:dyDescent="0.2">
      <c r="A3" s="213" t="s">
        <v>547</v>
      </c>
      <c r="B3" s="213"/>
      <c r="C3" s="213"/>
      <c r="D3" s="213"/>
      <c r="E3" s="213"/>
      <c r="F3" s="213"/>
      <c r="G3" s="213"/>
      <c r="H3" s="213"/>
      <c r="I3" s="213"/>
      <c r="J3" s="213"/>
      <c r="K3" s="213"/>
      <c r="L3" s="213"/>
      <c r="M3" s="213"/>
      <c r="N3" s="213"/>
    </row>
    <row r="4" spans="1:23" x14ac:dyDescent="0.2">
      <c r="A4" s="213" t="s">
        <v>548</v>
      </c>
      <c r="B4" s="213"/>
      <c r="C4" s="213"/>
      <c r="D4" s="213"/>
      <c r="E4" s="213"/>
      <c r="F4" s="213"/>
      <c r="G4" s="213"/>
      <c r="H4" s="213"/>
      <c r="I4" s="213"/>
      <c r="J4" s="213"/>
      <c r="K4" s="213"/>
      <c r="L4" s="213"/>
      <c r="M4" s="213"/>
      <c r="N4" s="213"/>
    </row>
    <row r="5" spans="1:23" x14ac:dyDescent="0.2">
      <c r="A5" s="213" t="s">
        <v>549</v>
      </c>
      <c r="B5" s="213"/>
      <c r="C5" s="213"/>
      <c r="D5" s="213"/>
      <c r="E5" s="213"/>
      <c r="F5" s="213"/>
      <c r="G5" s="213"/>
      <c r="H5" s="213"/>
      <c r="I5" s="213"/>
      <c r="J5" s="213"/>
      <c r="K5" s="213"/>
      <c r="L5" s="213"/>
      <c r="M5" s="213"/>
      <c r="N5" s="213"/>
    </row>
    <row r="6" spans="1:23" x14ac:dyDescent="0.2">
      <c r="A6" s="214" t="s">
        <v>493</v>
      </c>
      <c r="B6" s="214"/>
      <c r="C6" s="214"/>
      <c r="D6" s="214"/>
      <c r="E6" s="214"/>
      <c r="F6" s="214"/>
      <c r="G6" s="214"/>
      <c r="H6" s="214"/>
      <c r="I6" s="214"/>
      <c r="J6" s="214"/>
      <c r="K6" s="214"/>
      <c r="L6" s="214"/>
      <c r="M6" s="214"/>
    </row>
    <row r="7" spans="1:23" x14ac:dyDescent="0.2">
      <c r="A7" s="213" t="s">
        <v>493</v>
      </c>
      <c r="B7" s="215"/>
      <c r="C7" s="215" t="s">
        <v>497</v>
      </c>
      <c r="D7" s="215" t="s">
        <v>497</v>
      </c>
      <c r="E7" s="215" t="s">
        <v>497</v>
      </c>
      <c r="F7" s="215" t="s">
        <v>497</v>
      </c>
      <c r="G7" s="215" t="s">
        <v>497</v>
      </c>
      <c r="H7" s="215" t="s">
        <v>497</v>
      </c>
      <c r="I7" s="215" t="s">
        <v>497</v>
      </c>
      <c r="J7" s="215" t="s">
        <v>497</v>
      </c>
      <c r="K7" s="215" t="s">
        <v>497</v>
      </c>
      <c r="L7" s="215" t="s">
        <v>497</v>
      </c>
      <c r="M7" s="215" t="s">
        <v>497</v>
      </c>
      <c r="N7" s="215" t="s">
        <v>497</v>
      </c>
    </row>
    <row r="8" spans="1:23" x14ac:dyDescent="0.2">
      <c r="A8" s="213" t="s">
        <v>493</v>
      </c>
      <c r="B8" s="213"/>
      <c r="C8" s="201" t="s">
        <v>445</v>
      </c>
      <c r="D8" s="201" t="s">
        <v>446</v>
      </c>
      <c r="E8" s="201" t="s">
        <v>447</v>
      </c>
      <c r="F8" s="201" t="s">
        <v>448</v>
      </c>
      <c r="G8" s="201" t="s">
        <v>449</v>
      </c>
      <c r="H8" s="201" t="s">
        <v>450</v>
      </c>
      <c r="I8" s="201" t="s">
        <v>451</v>
      </c>
      <c r="J8" s="201" t="s">
        <v>452</v>
      </c>
      <c r="K8" s="201" t="s">
        <v>453</v>
      </c>
      <c r="L8" s="201" t="s">
        <v>454</v>
      </c>
      <c r="M8" s="201" t="s">
        <v>455</v>
      </c>
      <c r="N8" s="201" t="s">
        <v>456</v>
      </c>
      <c r="O8" s="202" t="s">
        <v>457</v>
      </c>
      <c r="P8" s="202" t="s">
        <v>458</v>
      </c>
      <c r="Q8" s="202" t="s">
        <v>459</v>
      </c>
      <c r="R8" s="202" t="s">
        <v>460</v>
      </c>
      <c r="S8" s="202" t="s">
        <v>461</v>
      </c>
      <c r="T8" s="202" t="s">
        <v>462</v>
      </c>
      <c r="U8" s="202" t="s">
        <v>463</v>
      </c>
      <c r="V8" s="202" t="s">
        <v>464</v>
      </c>
      <c r="W8" s="202" t="s">
        <v>465</v>
      </c>
    </row>
    <row r="9" spans="1:23" x14ac:dyDescent="0.2">
      <c r="A9" s="216" t="s">
        <v>493</v>
      </c>
      <c r="B9" s="216"/>
      <c r="C9" s="217" t="s">
        <v>493</v>
      </c>
      <c r="D9" s="217" t="s">
        <v>493</v>
      </c>
      <c r="E9" s="217" t="s">
        <v>493</v>
      </c>
      <c r="F9" s="217" t="s">
        <v>493</v>
      </c>
      <c r="G9" s="217" t="s">
        <v>493</v>
      </c>
      <c r="H9" s="217" t="s">
        <v>493</v>
      </c>
      <c r="I9" s="217" t="s">
        <v>493</v>
      </c>
      <c r="J9" s="217" t="s">
        <v>493</v>
      </c>
      <c r="K9" s="217" t="s">
        <v>493</v>
      </c>
      <c r="L9" s="217" t="s">
        <v>493</v>
      </c>
      <c r="M9" s="217" t="s">
        <v>493</v>
      </c>
      <c r="N9" s="217" t="s">
        <v>493</v>
      </c>
    </row>
    <row r="10" spans="1:23" x14ac:dyDescent="0.2">
      <c r="A10" s="218" t="s">
        <v>550</v>
      </c>
      <c r="B10" s="218"/>
      <c r="C10" s="218" t="s">
        <v>500</v>
      </c>
      <c r="D10" s="218" t="s">
        <v>500</v>
      </c>
      <c r="E10" s="218" t="s">
        <v>500</v>
      </c>
      <c r="F10" s="218" t="s">
        <v>500</v>
      </c>
      <c r="G10" s="218" t="s">
        <v>500</v>
      </c>
      <c r="H10" s="218" t="s">
        <v>500</v>
      </c>
      <c r="I10" s="218" t="s">
        <v>500</v>
      </c>
      <c r="J10" s="218" t="s">
        <v>500</v>
      </c>
      <c r="K10" s="218" t="s">
        <v>500</v>
      </c>
      <c r="L10" s="218" t="s">
        <v>500</v>
      </c>
      <c r="M10" s="218" t="s">
        <v>500</v>
      </c>
      <c r="N10" s="218" t="s">
        <v>500</v>
      </c>
    </row>
    <row r="11" spans="1:23" x14ac:dyDescent="0.2">
      <c r="A11" s="226" t="s">
        <v>493</v>
      </c>
      <c r="B11" s="226"/>
      <c r="C11" s="226"/>
      <c r="D11" s="226"/>
      <c r="E11" s="226"/>
      <c r="F11" s="226"/>
      <c r="G11" s="226"/>
      <c r="H11" s="226"/>
      <c r="I11" s="226"/>
      <c r="J11" s="226"/>
      <c r="K11" s="226"/>
      <c r="L11" s="226"/>
      <c r="M11" s="226"/>
      <c r="N11" s="226"/>
    </row>
    <row r="12" spans="1:23" x14ac:dyDescent="0.2">
      <c r="A12" s="213" t="s">
        <v>551</v>
      </c>
      <c r="B12" s="213"/>
      <c r="C12" s="213" t="s">
        <v>502</v>
      </c>
      <c r="D12" s="213" t="s">
        <v>502</v>
      </c>
      <c r="E12" s="213" t="s">
        <v>502</v>
      </c>
      <c r="F12" s="213" t="s">
        <v>502</v>
      </c>
      <c r="G12" s="213" t="s">
        <v>502</v>
      </c>
      <c r="H12" s="213" t="s">
        <v>502</v>
      </c>
      <c r="I12" s="213" t="s">
        <v>502</v>
      </c>
      <c r="J12" s="213" t="s">
        <v>502</v>
      </c>
      <c r="K12" s="213" t="s">
        <v>502</v>
      </c>
      <c r="L12" s="213" t="s">
        <v>502</v>
      </c>
      <c r="M12" s="213" t="s">
        <v>502</v>
      </c>
      <c r="N12" s="213" t="s">
        <v>502</v>
      </c>
    </row>
    <row r="13" spans="1:23" x14ac:dyDescent="0.2">
      <c r="A13" s="226" t="s">
        <v>493</v>
      </c>
      <c r="B13" s="226"/>
      <c r="C13" s="226"/>
      <c r="D13" s="226"/>
      <c r="E13" s="226"/>
      <c r="F13" s="226"/>
      <c r="G13" s="226"/>
      <c r="H13" s="226"/>
      <c r="I13" s="226"/>
      <c r="J13" s="226"/>
      <c r="K13" s="226"/>
      <c r="L13" s="226"/>
      <c r="M13" s="226"/>
      <c r="N13" s="226"/>
    </row>
    <row r="14" spans="1:23" x14ac:dyDescent="0.2">
      <c r="A14" s="213" t="s">
        <v>552</v>
      </c>
      <c r="B14" s="213"/>
      <c r="C14" s="213" t="s">
        <v>504</v>
      </c>
      <c r="D14" s="213" t="s">
        <v>504</v>
      </c>
      <c r="E14" s="213" t="s">
        <v>504</v>
      </c>
      <c r="F14" s="213" t="s">
        <v>504</v>
      </c>
      <c r="G14" s="213" t="s">
        <v>504</v>
      </c>
      <c r="H14" s="213" t="s">
        <v>504</v>
      </c>
      <c r="I14" s="213" t="s">
        <v>504</v>
      </c>
      <c r="J14" s="213" t="s">
        <v>504</v>
      </c>
      <c r="K14" s="213" t="s">
        <v>504</v>
      </c>
      <c r="L14" s="213" t="s">
        <v>504</v>
      </c>
      <c r="M14" s="213" t="s">
        <v>504</v>
      </c>
      <c r="N14" s="213" t="s">
        <v>504</v>
      </c>
    </row>
    <row r="15" spans="1:23" x14ac:dyDescent="0.2">
      <c r="A15" s="213" t="s">
        <v>553</v>
      </c>
      <c r="B15" s="213"/>
      <c r="C15" s="219">
        <v>68676</v>
      </c>
      <c r="D15" s="219">
        <v>729267.24</v>
      </c>
      <c r="E15" s="219">
        <v>698417.78</v>
      </c>
      <c r="F15" s="219">
        <v>592417.67000000004</v>
      </c>
      <c r="G15" s="219">
        <v>655736.67000000004</v>
      </c>
      <c r="H15" s="219">
        <v>578443.67000000004</v>
      </c>
      <c r="I15" s="219">
        <v>609193.56999999995</v>
      </c>
      <c r="J15" s="219">
        <v>520489.99</v>
      </c>
      <c r="K15" s="219">
        <v>530268.44999999995</v>
      </c>
      <c r="L15" s="219">
        <v>447368.02</v>
      </c>
      <c r="M15" s="219">
        <v>399122.97</v>
      </c>
      <c r="N15" s="219">
        <v>343448.45</v>
      </c>
    </row>
    <row r="16" spans="1:23" x14ac:dyDescent="0.2">
      <c r="A16" s="213" t="s">
        <v>554</v>
      </c>
      <c r="B16" s="213"/>
      <c r="C16" s="223">
        <v>68676</v>
      </c>
      <c r="D16" s="223">
        <v>729267.24</v>
      </c>
      <c r="E16" s="223">
        <v>698417.78</v>
      </c>
      <c r="F16" s="223">
        <v>592417.67000000004</v>
      </c>
      <c r="G16" s="223">
        <v>655736.67000000004</v>
      </c>
      <c r="H16" s="223">
        <v>578443.67000000004</v>
      </c>
      <c r="I16" s="223">
        <v>609193.56999999995</v>
      </c>
      <c r="J16" s="223">
        <v>520489.99</v>
      </c>
      <c r="K16" s="223">
        <v>530268.44999999995</v>
      </c>
      <c r="L16" s="223">
        <v>447368.02</v>
      </c>
      <c r="M16" s="223">
        <v>399122.97</v>
      </c>
      <c r="N16" s="223">
        <v>343448.45</v>
      </c>
    </row>
    <row r="17" spans="1:24" x14ac:dyDescent="0.2">
      <c r="A17" s="213" t="s">
        <v>555</v>
      </c>
      <c r="B17" s="213"/>
      <c r="C17" s="226"/>
      <c r="D17" s="226"/>
      <c r="E17" s="226"/>
      <c r="F17" s="219"/>
      <c r="G17" s="219"/>
      <c r="H17" s="219"/>
      <c r="I17" s="230" t="s">
        <v>504</v>
      </c>
      <c r="J17" s="230" t="s">
        <v>504</v>
      </c>
      <c r="K17" s="230" t="s">
        <v>504</v>
      </c>
      <c r="L17" s="230" t="s">
        <v>504</v>
      </c>
      <c r="M17" s="230" t="s">
        <v>504</v>
      </c>
      <c r="N17" s="230" t="s">
        <v>504</v>
      </c>
    </row>
    <row r="18" spans="1:24" x14ac:dyDescent="0.2">
      <c r="A18" s="213" t="s">
        <v>556</v>
      </c>
      <c r="B18" s="213"/>
      <c r="C18" s="213" t="s">
        <v>504</v>
      </c>
      <c r="D18" s="213" t="s">
        <v>504</v>
      </c>
      <c r="E18" s="213" t="s">
        <v>504</v>
      </c>
      <c r="F18" s="219"/>
      <c r="G18" s="219"/>
      <c r="H18" s="219"/>
      <c r="I18" s="219">
        <v>0</v>
      </c>
      <c r="J18" s="219">
        <v>155727</v>
      </c>
      <c r="K18" s="219">
        <v>154363.35999999999</v>
      </c>
      <c r="L18" s="219">
        <v>154363.35999999999</v>
      </c>
      <c r="M18" s="219">
        <v>154363.35999999999</v>
      </c>
      <c r="N18" s="219">
        <v>154363.35999999999</v>
      </c>
    </row>
    <row r="19" spans="1:24" x14ac:dyDescent="0.2">
      <c r="A19" s="213" t="s">
        <v>557</v>
      </c>
      <c r="B19" s="213"/>
      <c r="C19" s="219">
        <v>0</v>
      </c>
      <c r="D19" s="219">
        <v>0</v>
      </c>
      <c r="E19" s="219">
        <v>0</v>
      </c>
      <c r="F19" s="219"/>
      <c r="G19" s="219"/>
      <c r="H19" s="219"/>
      <c r="I19" s="219"/>
      <c r="J19" s="219"/>
      <c r="K19" s="219"/>
      <c r="L19" s="219">
        <v>62500</v>
      </c>
      <c r="M19" s="219">
        <v>62500</v>
      </c>
      <c r="N19" s="219">
        <v>62500</v>
      </c>
    </row>
    <row r="20" spans="1:24" x14ac:dyDescent="0.2">
      <c r="A20" s="213" t="s">
        <v>558</v>
      </c>
      <c r="B20" s="213"/>
      <c r="C20" s="223">
        <v>0</v>
      </c>
      <c r="D20" s="223">
        <v>0</v>
      </c>
      <c r="E20" s="223">
        <v>0</v>
      </c>
      <c r="F20" s="223"/>
      <c r="G20" s="223"/>
      <c r="H20" s="223"/>
      <c r="I20" s="223">
        <v>0</v>
      </c>
      <c r="J20" s="223">
        <v>155727</v>
      </c>
      <c r="K20" s="223">
        <v>154363.35999999999</v>
      </c>
      <c r="L20" s="223">
        <v>216863.35999999999</v>
      </c>
      <c r="M20" s="223">
        <v>216863.35999999999</v>
      </c>
      <c r="N20" s="223">
        <v>216863.35999999999</v>
      </c>
    </row>
    <row r="21" spans="1:24" x14ac:dyDescent="0.2">
      <c r="A21" s="226" t="s">
        <v>493</v>
      </c>
      <c r="B21" s="226"/>
      <c r="C21" s="226"/>
      <c r="D21" s="226"/>
      <c r="E21" s="226"/>
      <c r="F21" s="226"/>
      <c r="G21" s="226"/>
      <c r="H21" s="226"/>
      <c r="I21" s="226"/>
      <c r="J21" s="226"/>
      <c r="K21" s="226"/>
      <c r="L21" s="226"/>
      <c r="M21" s="226"/>
      <c r="N21" s="226"/>
    </row>
    <row r="22" spans="1:24" x14ac:dyDescent="0.2">
      <c r="A22" s="213" t="s">
        <v>559</v>
      </c>
      <c r="B22" s="213"/>
      <c r="C22" s="213" t="s">
        <v>504</v>
      </c>
      <c r="D22" s="213" t="s">
        <v>504</v>
      </c>
      <c r="E22" s="213" t="s">
        <v>504</v>
      </c>
      <c r="F22" s="213" t="s">
        <v>504</v>
      </c>
      <c r="G22" s="213" t="s">
        <v>504</v>
      </c>
      <c r="H22" s="213" t="s">
        <v>504</v>
      </c>
      <c r="I22" s="213" t="s">
        <v>504</v>
      </c>
      <c r="J22" s="213" t="s">
        <v>504</v>
      </c>
      <c r="K22" s="213" t="s">
        <v>504</v>
      </c>
      <c r="L22" s="213" t="s">
        <v>504</v>
      </c>
      <c r="M22" s="213" t="s">
        <v>504</v>
      </c>
      <c r="N22" s="213" t="s">
        <v>504</v>
      </c>
    </row>
    <row r="23" spans="1:24" x14ac:dyDescent="0.2">
      <c r="A23" s="226" t="s">
        <v>493</v>
      </c>
      <c r="B23" s="226"/>
      <c r="C23" s="226"/>
      <c r="D23" s="226"/>
      <c r="E23" s="226"/>
      <c r="F23" s="226"/>
      <c r="G23" s="226"/>
      <c r="H23" s="226"/>
      <c r="I23" s="226"/>
      <c r="J23" s="226"/>
      <c r="K23" s="226"/>
      <c r="L23" s="226"/>
      <c r="M23" s="226"/>
      <c r="N23" s="226"/>
    </row>
    <row r="24" spans="1:24" x14ac:dyDescent="0.2">
      <c r="A24" s="213" t="s">
        <v>560</v>
      </c>
      <c r="B24" s="213"/>
      <c r="C24" s="213" t="s">
        <v>506</v>
      </c>
      <c r="D24" s="213" t="s">
        <v>506</v>
      </c>
      <c r="E24" s="213" t="s">
        <v>506</v>
      </c>
      <c r="G24" s="213" t="s">
        <v>506</v>
      </c>
      <c r="H24" s="213" t="s">
        <v>506</v>
      </c>
      <c r="I24" s="213" t="s">
        <v>506</v>
      </c>
      <c r="J24" s="213" t="s">
        <v>506</v>
      </c>
      <c r="K24" s="213" t="s">
        <v>506</v>
      </c>
      <c r="L24" s="213" t="s">
        <v>506</v>
      </c>
      <c r="M24" s="213" t="s">
        <v>506</v>
      </c>
      <c r="N24" s="213" t="s">
        <v>506</v>
      </c>
    </row>
    <row r="25" spans="1:24" x14ac:dyDescent="0.2">
      <c r="A25" s="213" t="s">
        <v>561</v>
      </c>
      <c r="B25" s="213"/>
      <c r="C25" s="219">
        <v>7057.27</v>
      </c>
      <c r="D25" s="219">
        <v>7057.27</v>
      </c>
      <c r="E25" s="219">
        <v>7057.27</v>
      </c>
      <c r="F25" s="219">
        <v>7057.27</v>
      </c>
      <c r="G25" s="219">
        <v>7057.27</v>
      </c>
      <c r="H25" s="219">
        <v>7057.27</v>
      </c>
      <c r="I25" s="219">
        <v>7057.27</v>
      </c>
      <c r="J25" s="219">
        <v>7057.27</v>
      </c>
      <c r="K25" s="219">
        <v>7057.27</v>
      </c>
      <c r="L25" s="219">
        <v>7057.27</v>
      </c>
      <c r="M25" s="219">
        <v>7057.27</v>
      </c>
      <c r="N25" s="219">
        <v>7057.27</v>
      </c>
      <c r="O25" s="219">
        <v>7057.27</v>
      </c>
      <c r="P25" s="219">
        <v>7057.27</v>
      </c>
      <c r="Q25" s="219">
        <v>7057.27</v>
      </c>
      <c r="R25" s="219">
        <v>7057.27</v>
      </c>
      <c r="S25" s="219">
        <v>7057.27</v>
      </c>
      <c r="T25" s="219">
        <v>7057.27</v>
      </c>
      <c r="U25" s="219">
        <v>7057.27</v>
      </c>
      <c r="V25" s="219">
        <v>7057.27</v>
      </c>
      <c r="W25" s="219">
        <v>7057.27</v>
      </c>
      <c r="X25" s="219">
        <v>7057.27</v>
      </c>
    </row>
    <row r="26" spans="1:24" x14ac:dyDescent="0.2">
      <c r="A26" s="213" t="s">
        <v>562</v>
      </c>
      <c r="B26" s="213"/>
      <c r="C26" s="223">
        <v>7057.27</v>
      </c>
      <c r="D26" s="223">
        <v>7057.27</v>
      </c>
      <c r="E26" s="223">
        <v>7057.27</v>
      </c>
      <c r="F26" s="223">
        <v>7057.27</v>
      </c>
      <c r="G26" s="223">
        <v>7057.27</v>
      </c>
      <c r="H26" s="223">
        <v>7057.27</v>
      </c>
      <c r="I26" s="223">
        <v>7057.27</v>
      </c>
      <c r="J26" s="223">
        <v>7057.27</v>
      </c>
      <c r="K26" s="223">
        <v>7057.27</v>
      </c>
      <c r="L26" s="223">
        <v>7057.27</v>
      </c>
      <c r="M26" s="223">
        <v>7057.27</v>
      </c>
      <c r="N26" s="223">
        <v>7057.27</v>
      </c>
    </row>
    <row r="27" spans="1:24" x14ac:dyDescent="0.2">
      <c r="A27" s="226" t="s">
        <v>493</v>
      </c>
      <c r="B27" s="226"/>
      <c r="C27" s="226"/>
      <c r="D27" s="226"/>
      <c r="E27" s="226"/>
      <c r="F27" s="226"/>
      <c r="G27" s="226"/>
      <c r="H27" s="226"/>
      <c r="I27" s="226"/>
      <c r="J27" s="226"/>
      <c r="K27" s="226"/>
      <c r="L27" s="226"/>
      <c r="M27" s="226"/>
      <c r="N27" s="226"/>
    </row>
    <row r="28" spans="1:24" x14ac:dyDescent="0.2">
      <c r="A28" s="213" t="s">
        <v>563</v>
      </c>
      <c r="B28" s="213"/>
      <c r="C28" s="231">
        <v>7057.27</v>
      </c>
      <c r="D28" s="231">
        <v>7057.27</v>
      </c>
      <c r="E28" s="231">
        <v>7057.27</v>
      </c>
      <c r="F28" s="231">
        <v>7057.27</v>
      </c>
      <c r="G28" s="231">
        <v>7057.27</v>
      </c>
      <c r="H28" s="231">
        <v>7057.27</v>
      </c>
      <c r="I28" s="231">
        <v>7057.27</v>
      </c>
      <c r="J28" s="231">
        <v>7057.27</v>
      </c>
      <c r="K28" s="231">
        <v>7057.27</v>
      </c>
      <c r="L28" s="231">
        <v>7057.27</v>
      </c>
      <c r="M28" s="231">
        <v>7057.27</v>
      </c>
      <c r="N28" s="231">
        <v>7057.27</v>
      </c>
    </row>
    <row r="29" spans="1:24" x14ac:dyDescent="0.2">
      <c r="A29" s="226" t="s">
        <v>493</v>
      </c>
      <c r="B29" s="226"/>
      <c r="C29" s="226"/>
      <c r="D29" s="226"/>
      <c r="E29" s="226"/>
      <c r="F29" s="226"/>
      <c r="G29" s="226"/>
      <c r="H29" s="226"/>
      <c r="I29" s="226"/>
      <c r="J29" s="226"/>
      <c r="K29" s="226"/>
      <c r="L29" s="226"/>
      <c r="M29" s="226"/>
      <c r="N29" s="226"/>
    </row>
    <row r="30" spans="1:24" x14ac:dyDescent="0.2">
      <c r="A30" s="213" t="s">
        <v>564</v>
      </c>
      <c r="B30" s="213"/>
      <c r="C30" s="213" t="s">
        <v>504</v>
      </c>
      <c r="D30" s="213" t="s">
        <v>504</v>
      </c>
      <c r="E30" s="213" t="s">
        <v>504</v>
      </c>
      <c r="F30" s="213" t="s">
        <v>504</v>
      </c>
      <c r="G30" s="213" t="s">
        <v>504</v>
      </c>
      <c r="H30" s="213" t="s">
        <v>504</v>
      </c>
      <c r="I30" s="213" t="s">
        <v>504</v>
      </c>
      <c r="J30" s="213" t="s">
        <v>504</v>
      </c>
      <c r="K30" s="213" t="s">
        <v>504</v>
      </c>
      <c r="L30" s="213" t="s">
        <v>504</v>
      </c>
      <c r="M30" s="213" t="s">
        <v>504</v>
      </c>
      <c r="N30" s="213" t="s">
        <v>504</v>
      </c>
    </row>
    <row r="31" spans="1:24" x14ac:dyDescent="0.2">
      <c r="A31" s="213" t="s">
        <v>565</v>
      </c>
      <c r="B31" s="213"/>
      <c r="C31" s="219">
        <v>428196.6</v>
      </c>
      <c r="D31" s="219">
        <v>53867.16</v>
      </c>
      <c r="E31" s="219">
        <v>45239.87</v>
      </c>
      <c r="F31" s="219">
        <v>110564.83</v>
      </c>
      <c r="G31" s="219">
        <v>-6729.03</v>
      </c>
      <c r="H31" s="219">
        <v>37582.94</v>
      </c>
      <c r="I31" s="219">
        <v>33288.11</v>
      </c>
      <c r="J31" s="219">
        <v>20893.79</v>
      </c>
      <c r="K31" s="219">
        <v>-6729.03</v>
      </c>
      <c r="L31" s="219">
        <v>12089.69</v>
      </c>
      <c r="M31" s="219">
        <v>27741.65</v>
      </c>
      <c r="N31" s="219">
        <v>41891.5</v>
      </c>
    </row>
    <row r="32" spans="1:24" x14ac:dyDescent="0.2">
      <c r="A32" s="213" t="s">
        <v>566</v>
      </c>
      <c r="B32" s="213"/>
      <c r="C32" s="223">
        <v>428196.6</v>
      </c>
      <c r="D32" s="223">
        <v>53867.16</v>
      </c>
      <c r="E32" s="223">
        <v>45239.87</v>
      </c>
      <c r="F32" s="223">
        <v>110564.83</v>
      </c>
      <c r="G32" s="223">
        <v>-6729.03</v>
      </c>
      <c r="H32" s="223">
        <v>37582.94</v>
      </c>
      <c r="I32" s="223">
        <v>33288.11</v>
      </c>
      <c r="J32" s="223">
        <v>20893.79</v>
      </c>
      <c r="K32" s="223">
        <v>-6729.03</v>
      </c>
      <c r="L32" s="223">
        <v>12089.69</v>
      </c>
      <c r="M32" s="223">
        <v>27741.65</v>
      </c>
      <c r="N32" s="223">
        <v>41891.5</v>
      </c>
    </row>
    <row r="33" spans="1:14" x14ac:dyDescent="0.2">
      <c r="A33" s="226" t="s">
        <v>493</v>
      </c>
      <c r="B33" s="226"/>
      <c r="C33" s="226"/>
      <c r="D33" s="226"/>
      <c r="E33" s="226"/>
      <c r="F33" s="226"/>
      <c r="G33" s="226"/>
      <c r="H33" s="226"/>
      <c r="I33" s="226"/>
      <c r="J33" s="226"/>
      <c r="K33" s="226"/>
      <c r="L33" s="226"/>
      <c r="M33" s="226"/>
      <c r="N33" s="226"/>
    </row>
    <row r="34" spans="1:14" x14ac:dyDescent="0.2">
      <c r="A34" s="213" t="s">
        <v>567</v>
      </c>
      <c r="B34" s="213"/>
      <c r="C34" s="231">
        <v>503929.87</v>
      </c>
      <c r="D34" s="231">
        <v>790191.67</v>
      </c>
      <c r="E34" s="231">
        <v>750714.92</v>
      </c>
      <c r="F34" s="231">
        <v>710039.77</v>
      </c>
      <c r="G34" s="231">
        <v>656064.91</v>
      </c>
      <c r="H34" s="231">
        <v>623083.88</v>
      </c>
      <c r="I34" s="231">
        <v>649538.94999999995</v>
      </c>
      <c r="J34" s="231">
        <v>704168.05</v>
      </c>
      <c r="K34" s="231">
        <v>684960.05</v>
      </c>
      <c r="L34" s="231">
        <v>683378.34</v>
      </c>
      <c r="M34" s="231">
        <v>650785.25</v>
      </c>
      <c r="N34" s="231">
        <v>609260.57999999996</v>
      </c>
    </row>
    <row r="35" spans="1:14" x14ac:dyDescent="0.2">
      <c r="A35" s="226" t="s">
        <v>493</v>
      </c>
      <c r="B35" s="226"/>
      <c r="C35" s="226"/>
      <c r="D35" s="226"/>
      <c r="E35" s="226"/>
      <c r="F35" s="226"/>
      <c r="G35" s="226"/>
      <c r="H35" s="226"/>
      <c r="I35" s="226"/>
      <c r="J35" s="226"/>
      <c r="K35" s="226"/>
      <c r="L35" s="226"/>
      <c r="M35" s="226"/>
      <c r="N35" s="226"/>
    </row>
    <row r="36" spans="1:14" ht="13.5" thickBot="1" x14ac:dyDescent="0.25">
      <c r="A36" s="218" t="s">
        <v>568</v>
      </c>
      <c r="B36" s="218"/>
      <c r="C36" s="228">
        <v>503929.87</v>
      </c>
      <c r="D36" s="228">
        <v>790191.67</v>
      </c>
      <c r="E36" s="228">
        <v>750714.92</v>
      </c>
      <c r="F36" s="228">
        <v>710039.77</v>
      </c>
      <c r="G36" s="228">
        <v>656064.91</v>
      </c>
      <c r="H36" s="228">
        <v>623083.88</v>
      </c>
      <c r="I36" s="228">
        <v>649538.94999999995</v>
      </c>
      <c r="J36" s="228">
        <v>704168.05</v>
      </c>
      <c r="K36" s="228">
        <v>684960.05</v>
      </c>
      <c r="L36" s="228">
        <v>683378.34</v>
      </c>
      <c r="M36" s="228">
        <v>650785.25</v>
      </c>
      <c r="N36" s="228">
        <v>609260.57999999996</v>
      </c>
    </row>
    <row r="37" spans="1:14" ht="13.5" thickTop="1" x14ac:dyDescent="0.2">
      <c r="A37" s="226" t="s">
        <v>493</v>
      </c>
      <c r="B37" s="226"/>
      <c r="C37" s="226"/>
      <c r="D37" s="226"/>
      <c r="E37" s="226"/>
      <c r="F37" s="226"/>
      <c r="G37" s="226"/>
      <c r="H37" s="226"/>
      <c r="I37" s="226"/>
      <c r="J37" s="226"/>
      <c r="K37" s="226"/>
      <c r="L37" s="226"/>
      <c r="M37" s="226"/>
      <c r="N37" s="226"/>
    </row>
    <row r="38" spans="1:14" x14ac:dyDescent="0.2">
      <c r="A38" s="226" t="s">
        <v>493</v>
      </c>
      <c r="B38" s="226"/>
      <c r="C38" s="226"/>
      <c r="D38" s="226"/>
      <c r="E38" s="226"/>
      <c r="F38" s="226"/>
      <c r="G38" s="226"/>
      <c r="H38" s="226"/>
      <c r="I38" s="226"/>
      <c r="J38" s="226"/>
      <c r="K38" s="226"/>
      <c r="L38" s="226"/>
      <c r="M38" s="226"/>
      <c r="N38" s="226"/>
    </row>
    <row r="39" spans="1:14" x14ac:dyDescent="0.2">
      <c r="A39" s="218" t="s">
        <v>569</v>
      </c>
      <c r="B39" s="218"/>
      <c r="C39" s="218" t="s">
        <v>500</v>
      </c>
      <c r="D39" s="218" t="s">
        <v>500</v>
      </c>
      <c r="E39" s="218" t="s">
        <v>500</v>
      </c>
      <c r="F39" s="218" t="s">
        <v>500</v>
      </c>
      <c r="G39" s="218" t="s">
        <v>500</v>
      </c>
      <c r="H39" s="218" t="s">
        <v>500</v>
      </c>
      <c r="I39" s="218" t="s">
        <v>500</v>
      </c>
      <c r="J39" s="218" t="s">
        <v>500</v>
      </c>
      <c r="K39" s="218" t="s">
        <v>500</v>
      </c>
      <c r="L39" s="218" t="s">
        <v>500</v>
      </c>
      <c r="M39" s="218" t="s">
        <v>500</v>
      </c>
      <c r="N39" s="218" t="s">
        <v>500</v>
      </c>
    </row>
    <row r="40" spans="1:14" x14ac:dyDescent="0.2">
      <c r="A40" s="226" t="s">
        <v>493</v>
      </c>
      <c r="B40" s="226"/>
      <c r="C40" s="226"/>
      <c r="D40" s="226"/>
      <c r="E40" s="226"/>
      <c r="F40" s="226"/>
      <c r="G40" s="226"/>
      <c r="H40" s="226"/>
      <c r="I40" s="226"/>
      <c r="J40" s="226"/>
      <c r="K40" s="226"/>
      <c r="L40" s="226"/>
      <c r="M40" s="226"/>
      <c r="N40" s="226"/>
    </row>
    <row r="41" spans="1:14" x14ac:dyDescent="0.2">
      <c r="A41" s="213" t="s">
        <v>570</v>
      </c>
      <c r="B41" s="213"/>
      <c r="C41" s="232"/>
      <c r="D41" s="213" t="s">
        <v>502</v>
      </c>
      <c r="E41" s="213" t="s">
        <v>502</v>
      </c>
      <c r="F41" s="213" t="s">
        <v>502</v>
      </c>
      <c r="G41" s="213" t="s">
        <v>502</v>
      </c>
      <c r="H41" s="213" t="s">
        <v>502</v>
      </c>
      <c r="I41" s="213" t="s">
        <v>502</v>
      </c>
      <c r="J41" s="213" t="s">
        <v>502</v>
      </c>
      <c r="K41" s="213" t="s">
        <v>502</v>
      </c>
      <c r="L41" s="213" t="s">
        <v>502</v>
      </c>
      <c r="M41" s="213" t="s">
        <v>502</v>
      </c>
      <c r="N41" s="213" t="s">
        <v>502</v>
      </c>
    </row>
    <row r="42" spans="1:14" x14ac:dyDescent="0.2">
      <c r="A42" s="226" t="s">
        <v>493</v>
      </c>
      <c r="B42" s="226"/>
      <c r="C42" s="233"/>
      <c r="D42" s="226"/>
      <c r="E42" s="226"/>
      <c r="F42" s="226"/>
      <c r="G42" s="226"/>
      <c r="H42" s="226"/>
      <c r="I42" s="226"/>
      <c r="J42" s="226"/>
      <c r="K42" s="226"/>
      <c r="L42" s="226"/>
      <c r="M42" s="226"/>
      <c r="N42" s="226"/>
    </row>
    <row r="43" spans="1:14" x14ac:dyDescent="0.2">
      <c r="A43" s="213" t="s">
        <v>571</v>
      </c>
      <c r="B43" s="213"/>
      <c r="C43" s="213" t="s">
        <v>504</v>
      </c>
      <c r="D43" s="213" t="s">
        <v>504</v>
      </c>
      <c r="E43" s="213" t="s">
        <v>504</v>
      </c>
      <c r="F43" s="213" t="s">
        <v>504</v>
      </c>
      <c r="G43" s="213" t="s">
        <v>504</v>
      </c>
      <c r="H43" s="213" t="s">
        <v>504</v>
      </c>
      <c r="I43" s="213" t="s">
        <v>504</v>
      </c>
      <c r="J43" s="213" t="s">
        <v>504</v>
      </c>
      <c r="K43" s="213" t="s">
        <v>504</v>
      </c>
      <c r="L43" s="213" t="s">
        <v>504</v>
      </c>
      <c r="M43" s="213" t="s">
        <v>504</v>
      </c>
      <c r="N43" s="213" t="s">
        <v>504</v>
      </c>
    </row>
    <row r="44" spans="1:14" x14ac:dyDescent="0.2">
      <c r="A44" s="226" t="s">
        <v>493</v>
      </c>
      <c r="B44" s="226"/>
      <c r="C44" s="226"/>
      <c r="D44" s="226"/>
      <c r="E44" s="226"/>
      <c r="F44" s="226"/>
      <c r="G44" s="226"/>
      <c r="H44" s="226"/>
      <c r="I44" s="226"/>
      <c r="J44" s="226"/>
      <c r="K44" s="226"/>
      <c r="L44" s="226"/>
      <c r="M44" s="226"/>
      <c r="N44" s="226"/>
    </row>
    <row r="45" spans="1:14" x14ac:dyDescent="0.2">
      <c r="A45" s="213" t="s">
        <v>572</v>
      </c>
      <c r="B45" s="213"/>
      <c r="C45" s="213" t="s">
        <v>506</v>
      </c>
      <c r="D45" s="213" t="s">
        <v>506</v>
      </c>
      <c r="E45" s="213" t="s">
        <v>506</v>
      </c>
      <c r="F45" s="213" t="s">
        <v>506</v>
      </c>
      <c r="G45" s="213" t="s">
        <v>506</v>
      </c>
      <c r="H45" s="213" t="s">
        <v>506</v>
      </c>
      <c r="I45" s="213" t="s">
        <v>506</v>
      </c>
      <c r="J45" s="213" t="s">
        <v>506</v>
      </c>
      <c r="K45" s="213" t="s">
        <v>506</v>
      </c>
      <c r="L45" s="213" t="s">
        <v>506</v>
      </c>
      <c r="M45" s="213" t="s">
        <v>506</v>
      </c>
      <c r="N45" s="213" t="s">
        <v>506</v>
      </c>
    </row>
    <row r="46" spans="1:14" x14ac:dyDescent="0.2">
      <c r="A46" s="213" t="s">
        <v>573</v>
      </c>
      <c r="B46" s="213"/>
      <c r="C46" s="219">
        <v>8405</v>
      </c>
      <c r="D46" s="219">
        <v>11400</v>
      </c>
      <c r="E46" s="219">
        <v>2450</v>
      </c>
      <c r="F46" s="219">
        <v>29905</v>
      </c>
      <c r="G46" s="219">
        <v>2562.5</v>
      </c>
      <c r="H46" s="219">
        <v>18182.5</v>
      </c>
      <c r="I46" s="219">
        <v>12962.5</v>
      </c>
      <c r="J46" s="219">
        <v>11150.44</v>
      </c>
      <c r="K46" s="219">
        <v>20305.43</v>
      </c>
      <c r="L46" s="219">
        <v>21863.91</v>
      </c>
      <c r="M46" s="219">
        <v>95</v>
      </c>
      <c r="N46" s="219">
        <v>16297.48</v>
      </c>
    </row>
    <row r="47" spans="1:14" x14ac:dyDescent="0.2">
      <c r="A47" s="213" t="s">
        <v>574</v>
      </c>
      <c r="B47" s="213"/>
      <c r="C47" s="223">
        <v>8405</v>
      </c>
      <c r="D47" s="223">
        <v>11400</v>
      </c>
      <c r="E47" s="223">
        <v>2450</v>
      </c>
      <c r="F47" s="223">
        <v>29905</v>
      </c>
      <c r="G47" s="223">
        <v>2562.5</v>
      </c>
      <c r="H47" s="223">
        <v>18182.5</v>
      </c>
      <c r="I47" s="223">
        <v>12962.5</v>
      </c>
      <c r="J47" s="223">
        <v>11150.44</v>
      </c>
      <c r="K47" s="223">
        <v>20305.43</v>
      </c>
      <c r="L47" s="223">
        <v>21863.91</v>
      </c>
      <c r="M47" s="223">
        <v>95</v>
      </c>
      <c r="N47" s="223">
        <v>16297.48</v>
      </c>
    </row>
    <row r="48" spans="1:14" x14ac:dyDescent="0.2">
      <c r="A48" s="226" t="s">
        <v>493</v>
      </c>
      <c r="B48" s="226"/>
      <c r="F48" s="226"/>
      <c r="G48" s="226"/>
      <c r="H48" s="226"/>
      <c r="I48" s="226"/>
      <c r="J48" s="226"/>
      <c r="K48" s="226"/>
      <c r="L48" s="226"/>
      <c r="M48" s="226"/>
      <c r="N48" s="226"/>
    </row>
    <row r="49" spans="1:14" x14ac:dyDescent="0.2">
      <c r="A49" s="213" t="s">
        <v>575</v>
      </c>
      <c r="B49" s="213"/>
      <c r="C49" s="226"/>
      <c r="D49" s="226"/>
      <c r="E49" s="226"/>
      <c r="F49" s="213" t="s">
        <v>506</v>
      </c>
      <c r="G49" s="213" t="s">
        <v>506</v>
      </c>
      <c r="H49" s="213" t="s">
        <v>506</v>
      </c>
      <c r="I49" s="213" t="s">
        <v>506</v>
      </c>
      <c r="J49" s="213" t="s">
        <v>506</v>
      </c>
      <c r="K49" s="213" t="s">
        <v>506</v>
      </c>
      <c r="L49" s="213" t="s">
        <v>506</v>
      </c>
      <c r="M49" s="213" t="s">
        <v>506</v>
      </c>
      <c r="N49" s="213" t="s">
        <v>506</v>
      </c>
    </row>
    <row r="50" spans="1:14" x14ac:dyDescent="0.2">
      <c r="A50" s="213" t="s">
        <v>576</v>
      </c>
      <c r="B50" s="213"/>
      <c r="C50" s="219">
        <v>4022.48</v>
      </c>
      <c r="D50" s="219">
        <v>4022.48</v>
      </c>
      <c r="E50" s="219">
        <v>4022.48</v>
      </c>
      <c r="F50" s="219">
        <v>4022.48</v>
      </c>
      <c r="G50" s="219">
        <v>4022.48</v>
      </c>
      <c r="H50" s="219">
        <v>4022.48</v>
      </c>
      <c r="I50" s="219">
        <v>4022.48</v>
      </c>
      <c r="J50" s="219">
        <v>4022.48</v>
      </c>
      <c r="K50" s="219">
        <v>4022.48</v>
      </c>
      <c r="L50" s="219">
        <v>4022.48</v>
      </c>
      <c r="M50" s="219">
        <v>4022.48</v>
      </c>
      <c r="N50" s="219">
        <v>4022.48</v>
      </c>
    </row>
    <row r="51" spans="1:14" x14ac:dyDescent="0.2">
      <c r="A51" s="213" t="s">
        <v>577</v>
      </c>
      <c r="B51" s="213"/>
      <c r="C51" s="219"/>
      <c r="D51" s="219"/>
      <c r="E51" s="219"/>
      <c r="F51" s="219"/>
      <c r="G51" s="219"/>
      <c r="H51" s="219"/>
      <c r="I51" s="219">
        <v>0</v>
      </c>
      <c r="J51" s="219">
        <v>0</v>
      </c>
      <c r="K51" s="219">
        <v>-1000</v>
      </c>
      <c r="L51" s="219">
        <v>-1000</v>
      </c>
      <c r="M51" s="219">
        <v>-1000</v>
      </c>
      <c r="N51" s="219">
        <v>-1000</v>
      </c>
    </row>
    <row r="52" spans="1:14" x14ac:dyDescent="0.2">
      <c r="A52" s="213" t="s">
        <v>578</v>
      </c>
      <c r="B52" s="213"/>
      <c r="C52" s="223">
        <v>4022.48</v>
      </c>
      <c r="D52" s="223">
        <v>4022.48</v>
      </c>
      <c r="E52" s="223">
        <v>4022.48</v>
      </c>
      <c r="F52" s="223">
        <v>4022.48</v>
      </c>
      <c r="G52" s="223">
        <v>4022.48</v>
      </c>
      <c r="H52" s="223">
        <v>4022.48</v>
      </c>
      <c r="I52" s="223">
        <v>4022.48</v>
      </c>
      <c r="J52" s="223">
        <v>4022.48</v>
      </c>
      <c r="K52" s="223">
        <v>3022.48</v>
      </c>
      <c r="L52" s="223">
        <v>3022.48</v>
      </c>
      <c r="M52" s="223">
        <v>3022.48</v>
      </c>
      <c r="N52" s="223">
        <v>3022.48</v>
      </c>
    </row>
    <row r="53" spans="1:14" x14ac:dyDescent="0.2">
      <c r="A53" s="226" t="s">
        <v>493</v>
      </c>
      <c r="B53" s="226"/>
      <c r="C53" s="226"/>
      <c r="D53" s="226"/>
      <c r="E53" s="226"/>
      <c r="F53" s="226"/>
      <c r="G53" s="226"/>
      <c r="H53" s="226"/>
      <c r="I53" s="226"/>
      <c r="J53" s="226"/>
      <c r="K53" s="226"/>
      <c r="L53" s="226"/>
      <c r="M53" s="226"/>
      <c r="N53" s="226"/>
    </row>
    <row r="54" spans="1:14" x14ac:dyDescent="0.2">
      <c r="A54" s="213" t="s">
        <v>579</v>
      </c>
      <c r="B54" s="213"/>
      <c r="C54" s="231">
        <v>12427.48</v>
      </c>
      <c r="D54" s="231">
        <v>15422.48</v>
      </c>
      <c r="E54" s="231">
        <v>6472.48</v>
      </c>
      <c r="F54" s="231">
        <v>33927.480000000003</v>
      </c>
      <c r="G54" s="231">
        <v>6584.98</v>
      </c>
      <c r="H54" s="231">
        <v>22204.98</v>
      </c>
      <c r="I54" s="231">
        <v>16984.98</v>
      </c>
      <c r="J54" s="231">
        <v>15172.92</v>
      </c>
      <c r="K54" s="231">
        <v>23327.91</v>
      </c>
      <c r="L54" s="231">
        <v>24886.39</v>
      </c>
      <c r="M54" s="231">
        <v>3117.48</v>
      </c>
      <c r="N54" s="231">
        <v>19319.96</v>
      </c>
    </row>
    <row r="55" spans="1:14" x14ac:dyDescent="0.2">
      <c r="A55" s="226" t="s">
        <v>493</v>
      </c>
      <c r="B55" s="226"/>
      <c r="C55" s="226"/>
      <c r="D55" s="226"/>
      <c r="E55" s="226"/>
      <c r="F55" s="226"/>
      <c r="G55" s="226"/>
      <c r="H55" s="226"/>
      <c r="I55" s="226"/>
      <c r="J55" s="226"/>
      <c r="K55" s="226"/>
      <c r="L55" s="226"/>
      <c r="M55" s="226"/>
      <c r="N55" s="226"/>
    </row>
    <row r="56" spans="1:14" x14ac:dyDescent="0.2">
      <c r="A56" s="213" t="s">
        <v>580</v>
      </c>
      <c r="B56" s="213"/>
      <c r="C56" s="231">
        <v>12427.48</v>
      </c>
      <c r="D56" s="231">
        <v>15422.48</v>
      </c>
      <c r="E56" s="231">
        <v>6472.48</v>
      </c>
      <c r="F56" s="231">
        <v>33927.480000000003</v>
      </c>
      <c r="G56" s="231">
        <v>6584.98</v>
      </c>
      <c r="H56" s="231">
        <v>22204.98</v>
      </c>
      <c r="I56" s="231">
        <v>16984.98</v>
      </c>
      <c r="J56" s="231">
        <v>15172.92</v>
      </c>
      <c r="K56" s="231">
        <v>23327.91</v>
      </c>
      <c r="L56" s="231">
        <v>24886.39</v>
      </c>
      <c r="M56" s="231">
        <v>3117.48</v>
      </c>
      <c r="N56" s="231">
        <v>19319.96</v>
      </c>
    </row>
    <row r="57" spans="1:14" x14ac:dyDescent="0.2">
      <c r="A57" s="226" t="s">
        <v>493</v>
      </c>
      <c r="B57" s="226"/>
      <c r="C57" s="226"/>
      <c r="D57" s="226"/>
      <c r="E57" s="226"/>
      <c r="F57" s="226"/>
      <c r="G57" s="226"/>
      <c r="H57" s="226"/>
      <c r="I57" s="226"/>
      <c r="J57" s="226"/>
      <c r="K57" s="226"/>
      <c r="L57" s="226"/>
      <c r="M57" s="226"/>
      <c r="N57" s="226"/>
    </row>
    <row r="58" spans="1:14" x14ac:dyDescent="0.2">
      <c r="A58" s="213" t="s">
        <v>581</v>
      </c>
      <c r="B58" s="213"/>
      <c r="C58" s="213" t="s">
        <v>502</v>
      </c>
      <c r="D58" s="213" t="s">
        <v>502</v>
      </c>
      <c r="E58" s="213" t="s">
        <v>502</v>
      </c>
      <c r="F58" s="213" t="s">
        <v>502</v>
      </c>
      <c r="G58" s="213" t="s">
        <v>502</v>
      </c>
      <c r="H58" s="213" t="s">
        <v>502</v>
      </c>
      <c r="I58" s="213" t="s">
        <v>502</v>
      </c>
      <c r="J58" s="213" t="s">
        <v>502</v>
      </c>
      <c r="K58" s="213" t="s">
        <v>502</v>
      </c>
      <c r="L58" s="213" t="s">
        <v>502</v>
      </c>
      <c r="M58" s="213" t="s">
        <v>502</v>
      </c>
      <c r="N58" s="213" t="s">
        <v>502</v>
      </c>
    </row>
    <row r="59" spans="1:14" x14ac:dyDescent="0.2">
      <c r="A59" s="226" t="s">
        <v>493</v>
      </c>
      <c r="B59" s="226"/>
      <c r="C59" s="226"/>
      <c r="D59" s="226"/>
      <c r="E59" s="226"/>
      <c r="F59" s="226"/>
      <c r="G59" s="226"/>
      <c r="H59" s="226"/>
      <c r="I59" s="226"/>
      <c r="J59" s="226"/>
      <c r="K59" s="226"/>
      <c r="L59" s="226"/>
      <c r="M59" s="226"/>
      <c r="N59" s="226"/>
    </row>
    <row r="60" spans="1:14" x14ac:dyDescent="0.2">
      <c r="A60" s="213" t="s">
        <v>582</v>
      </c>
      <c r="B60" s="213"/>
      <c r="C60" s="213" t="s">
        <v>504</v>
      </c>
      <c r="D60" s="213" t="s">
        <v>504</v>
      </c>
      <c r="E60" s="213" t="s">
        <v>504</v>
      </c>
      <c r="F60" s="213" t="s">
        <v>504</v>
      </c>
      <c r="G60" s="213" t="s">
        <v>504</v>
      </c>
      <c r="H60" s="213" t="s">
        <v>504</v>
      </c>
      <c r="I60" s="213" t="s">
        <v>504</v>
      </c>
      <c r="J60" s="213" t="s">
        <v>504</v>
      </c>
      <c r="K60" s="213" t="s">
        <v>504</v>
      </c>
      <c r="L60" s="213" t="s">
        <v>504</v>
      </c>
      <c r="M60" s="213" t="s">
        <v>504</v>
      </c>
      <c r="N60" s="213" t="s">
        <v>504</v>
      </c>
    </row>
    <row r="61" spans="1:14" x14ac:dyDescent="0.2">
      <c r="A61" s="213" t="s">
        <v>583</v>
      </c>
      <c r="B61" s="213"/>
      <c r="C61" s="219">
        <v>208904</v>
      </c>
      <c r="D61" s="219">
        <v>491502.39</v>
      </c>
      <c r="E61" s="219">
        <v>774769.19</v>
      </c>
      <c r="F61" s="219">
        <v>744242.44</v>
      </c>
      <c r="G61" s="219">
        <v>676112.29</v>
      </c>
      <c r="H61" s="219">
        <v>649479.93000000005</v>
      </c>
      <c r="I61" s="219">
        <v>600878.9</v>
      </c>
      <c r="J61" s="219">
        <v>632553.97</v>
      </c>
      <c r="K61" s="219">
        <v>688995.13</v>
      </c>
      <c r="L61" s="219">
        <v>661632.14</v>
      </c>
      <c r="M61" s="219">
        <v>658491.94999999995</v>
      </c>
      <c r="N61" s="219">
        <v>647667.77</v>
      </c>
    </row>
    <row r="62" spans="1:14" x14ac:dyDescent="0.2">
      <c r="A62" s="213" t="s">
        <v>584</v>
      </c>
      <c r="B62" s="213"/>
      <c r="C62" s="223">
        <v>208904</v>
      </c>
      <c r="D62" s="223">
        <v>491502.39</v>
      </c>
      <c r="E62" s="223">
        <v>774769.19</v>
      </c>
      <c r="F62" s="223">
        <v>744242.44</v>
      </c>
      <c r="G62" s="223">
        <v>676112.29</v>
      </c>
      <c r="H62" s="223">
        <v>649479.93000000005</v>
      </c>
      <c r="I62" s="223">
        <v>600878.9</v>
      </c>
      <c r="J62" s="223">
        <v>632553.97</v>
      </c>
      <c r="K62" s="223">
        <v>688995.13</v>
      </c>
      <c r="L62" s="223">
        <v>661632.14</v>
      </c>
      <c r="M62" s="223">
        <v>658491.94999999995</v>
      </c>
      <c r="N62" s="223">
        <v>647667.77</v>
      </c>
    </row>
    <row r="63" spans="1:14" x14ac:dyDescent="0.2">
      <c r="A63" s="226" t="s">
        <v>493</v>
      </c>
      <c r="B63" s="226"/>
      <c r="C63" s="226"/>
      <c r="D63" s="226"/>
      <c r="E63" s="226"/>
      <c r="F63" s="226"/>
      <c r="G63" s="226"/>
      <c r="H63" s="226"/>
      <c r="I63" s="226"/>
      <c r="J63" s="226"/>
      <c r="K63" s="226"/>
      <c r="L63" s="226"/>
      <c r="M63" s="226"/>
      <c r="N63" s="226"/>
    </row>
    <row r="64" spans="1:14" x14ac:dyDescent="0.2">
      <c r="A64" s="213" t="s">
        <v>585</v>
      </c>
      <c r="B64" s="213"/>
      <c r="C64" s="219">
        <v>282598.39</v>
      </c>
      <c r="D64" s="219">
        <v>283266.8</v>
      </c>
      <c r="E64" s="219">
        <v>-30526.75</v>
      </c>
      <c r="F64" s="219">
        <v>-68130.149999999994</v>
      </c>
      <c r="G64" s="219">
        <v>-26632.36</v>
      </c>
      <c r="H64" s="219">
        <v>-48601.03</v>
      </c>
      <c r="I64" s="219">
        <v>31675.07</v>
      </c>
      <c r="J64" s="219">
        <v>56441.16</v>
      </c>
      <c r="K64" s="219">
        <v>-27362.99</v>
      </c>
      <c r="L64" s="219">
        <v>-3140.19</v>
      </c>
      <c r="M64" s="219">
        <v>-10824.18</v>
      </c>
      <c r="N64" s="219">
        <v>-57727.15</v>
      </c>
    </row>
    <row r="65" spans="1:14" x14ac:dyDescent="0.2">
      <c r="A65" s="226" t="s">
        <v>493</v>
      </c>
      <c r="B65" s="226"/>
      <c r="C65" s="226"/>
      <c r="D65" s="226"/>
      <c r="E65" s="226"/>
      <c r="F65" s="226"/>
      <c r="G65" s="226"/>
      <c r="H65" s="226"/>
      <c r="I65" s="226"/>
      <c r="J65" s="226"/>
      <c r="K65" s="226"/>
      <c r="L65" s="226"/>
      <c r="M65" s="226"/>
      <c r="N65" s="226"/>
    </row>
    <row r="66" spans="1:14" x14ac:dyDescent="0.2">
      <c r="A66" s="213" t="s">
        <v>586</v>
      </c>
      <c r="B66" s="213"/>
      <c r="C66" s="231">
        <v>491502.39</v>
      </c>
      <c r="D66" s="231">
        <v>774769.19</v>
      </c>
      <c r="E66" s="231">
        <v>744242.44</v>
      </c>
      <c r="F66" s="231">
        <v>676112.29</v>
      </c>
      <c r="G66" s="231">
        <v>649479.93000000005</v>
      </c>
      <c r="H66" s="231">
        <v>600878.9</v>
      </c>
      <c r="I66" s="231">
        <v>632553.97</v>
      </c>
      <c r="J66" s="231">
        <v>688995.13</v>
      </c>
      <c r="K66" s="231">
        <v>661632.14</v>
      </c>
      <c r="L66" s="231">
        <v>658491.94999999995</v>
      </c>
      <c r="M66" s="231">
        <v>647667.77</v>
      </c>
      <c r="N66" s="231">
        <v>589940.62</v>
      </c>
    </row>
    <row r="67" spans="1:14" x14ac:dyDescent="0.2">
      <c r="A67" s="226" t="s">
        <v>493</v>
      </c>
      <c r="B67" s="226"/>
      <c r="C67" s="226"/>
      <c r="D67" s="226"/>
      <c r="E67" s="226"/>
      <c r="F67" s="226"/>
      <c r="G67" s="226"/>
      <c r="H67" s="226"/>
      <c r="I67" s="226"/>
      <c r="J67" s="226"/>
      <c r="K67" s="226"/>
      <c r="L67" s="226"/>
      <c r="M67" s="226"/>
      <c r="N67" s="226"/>
    </row>
    <row r="68" spans="1:14" ht="13.5" thickBot="1" x14ac:dyDescent="0.25">
      <c r="A68" s="218" t="s">
        <v>587</v>
      </c>
      <c r="B68" s="218"/>
      <c r="C68" s="228">
        <v>503929.87</v>
      </c>
      <c r="D68" s="228">
        <v>790191.67</v>
      </c>
      <c r="E68" s="228">
        <v>750714.92</v>
      </c>
      <c r="F68" s="228">
        <v>710039.77</v>
      </c>
      <c r="G68" s="228">
        <v>656064.91</v>
      </c>
      <c r="H68" s="228">
        <v>623083.88</v>
      </c>
      <c r="I68" s="228">
        <v>649538.94999999995</v>
      </c>
      <c r="J68" s="228">
        <v>704168.05</v>
      </c>
      <c r="K68" s="228">
        <v>684960.05</v>
      </c>
      <c r="L68" s="228">
        <v>683378.34</v>
      </c>
      <c r="M68" s="228">
        <v>650785.25</v>
      </c>
      <c r="N68" s="228">
        <v>609260.57999999996</v>
      </c>
    </row>
    <row r="69" spans="1:14" ht="13.5" thickTop="1" x14ac:dyDescent="0.2">
      <c r="A69" s="214" t="s">
        <v>493</v>
      </c>
      <c r="B69" s="214"/>
      <c r="C69" s="214"/>
      <c r="D69" s="214"/>
      <c r="E69" s="214"/>
      <c r="F69" s="214"/>
      <c r="G69" s="214"/>
      <c r="H69" s="214"/>
      <c r="I69" s="214"/>
      <c r="J69" s="214"/>
      <c r="K69" s="214"/>
      <c r="L69" s="214"/>
      <c r="M69" s="214"/>
    </row>
    <row r="70" spans="1:14" x14ac:dyDescent="0.2">
      <c r="A70" s="214" t="s">
        <v>493</v>
      </c>
      <c r="B70" s="214"/>
      <c r="C70" s="214"/>
      <c r="D70" s="214"/>
      <c r="E70" s="214"/>
      <c r="F70" s="214"/>
      <c r="G70" s="214"/>
      <c r="H70" s="214"/>
      <c r="I70" s="214"/>
      <c r="J70" s="214"/>
      <c r="K70" s="214"/>
      <c r="L70" s="214"/>
      <c r="M70" s="214"/>
    </row>
    <row r="71" spans="1:14" x14ac:dyDescent="0.2">
      <c r="A71" s="213" t="s">
        <v>588</v>
      </c>
      <c r="B71" s="213"/>
      <c r="C71" s="213"/>
      <c r="D71" s="213"/>
      <c r="E71" s="213"/>
      <c r="F71" s="213"/>
      <c r="G71" s="213"/>
      <c r="H71" s="213"/>
      <c r="I71" s="213"/>
      <c r="J71" s="213"/>
      <c r="K71" s="213"/>
      <c r="L71" s="213"/>
      <c r="M71" s="213"/>
    </row>
    <row r="75" spans="1:14" x14ac:dyDescent="0.2">
      <c r="A75" s="210" t="s">
        <v>589</v>
      </c>
      <c r="C75" s="234">
        <v>56117.160000000033</v>
      </c>
    </row>
  </sheetData>
  <pageMargins left="0.75" right="0.75" top="1" bottom="1" header="0.5" footer="0.5"/>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D127-7D41-4E86-AEBC-BF8BA70E7925}">
  <sheetPr>
    <tabColor rgb="FF00B0F0"/>
  </sheetPr>
  <dimension ref="A2:X43"/>
  <sheetViews>
    <sheetView workbookViewId="0">
      <selection activeCell="C11" sqref="C11"/>
    </sheetView>
  </sheetViews>
  <sheetFormatPr defaultColWidth="8.77734375" defaultRowHeight="12.75" x14ac:dyDescent="0.2"/>
  <cols>
    <col min="1" max="1" width="35.77734375" style="173" customWidth="1"/>
    <col min="2" max="2" width="9.44140625" style="173" customWidth="1"/>
    <col min="3" max="16384" width="8.77734375" style="173"/>
  </cols>
  <sheetData>
    <row r="2" spans="1:24" x14ac:dyDescent="0.2">
      <c r="C2" s="201" t="s">
        <v>445</v>
      </c>
      <c r="D2" s="201" t="s">
        <v>446</v>
      </c>
      <c r="E2" s="201" t="s">
        <v>447</v>
      </c>
      <c r="F2" s="201" t="s">
        <v>448</v>
      </c>
      <c r="G2" s="201" t="s">
        <v>449</v>
      </c>
      <c r="H2" s="201" t="s">
        <v>450</v>
      </c>
      <c r="I2" s="201" t="s">
        <v>451</v>
      </c>
      <c r="J2" s="201" t="s">
        <v>452</v>
      </c>
      <c r="K2" s="201" t="s">
        <v>453</v>
      </c>
      <c r="L2" s="201" t="s">
        <v>454</v>
      </c>
      <c r="M2" s="201" t="s">
        <v>455</v>
      </c>
      <c r="N2" s="201" t="s">
        <v>456</v>
      </c>
      <c r="O2" s="202" t="s">
        <v>457</v>
      </c>
      <c r="P2" s="202" t="s">
        <v>458</v>
      </c>
      <c r="Q2" s="202" t="s">
        <v>459</v>
      </c>
      <c r="R2" s="202" t="s">
        <v>460</v>
      </c>
      <c r="S2" s="202" t="s">
        <v>461</v>
      </c>
      <c r="T2" s="202" t="s">
        <v>462</v>
      </c>
      <c r="U2" s="202" t="s">
        <v>463</v>
      </c>
      <c r="V2" s="202" t="s">
        <v>464</v>
      </c>
      <c r="W2" s="202" t="s">
        <v>465</v>
      </c>
      <c r="X2" s="203" t="s">
        <v>1</v>
      </c>
    </row>
    <row r="4" spans="1:24" x14ac:dyDescent="0.2">
      <c r="A4" s="204" t="s">
        <v>466</v>
      </c>
    </row>
    <row r="5" spans="1:24" x14ac:dyDescent="0.2">
      <c r="A5" s="196" t="s">
        <v>467</v>
      </c>
      <c r="C5" s="205">
        <v>282598.39</v>
      </c>
      <c r="D5" s="205">
        <v>283266.8</v>
      </c>
      <c r="E5" s="205">
        <v>-30526.75</v>
      </c>
      <c r="F5" s="205">
        <v>-68130.149999999994</v>
      </c>
      <c r="G5" s="205">
        <v>-26632.36</v>
      </c>
      <c r="H5" s="205">
        <v>-48601.03</v>
      </c>
      <c r="I5" s="205">
        <v>31675.07</v>
      </c>
      <c r="J5" s="205">
        <v>56441.16</v>
      </c>
      <c r="K5" s="205">
        <v>-27362.99</v>
      </c>
      <c r="L5" s="205">
        <v>-3140.19</v>
      </c>
      <c r="M5" s="205">
        <v>-10824.18</v>
      </c>
      <c r="N5" s="205">
        <v>-57727.15</v>
      </c>
      <c r="O5" s="205">
        <v>-11083.333333333336</v>
      </c>
      <c r="P5" s="205">
        <v>-11084.333333333336</v>
      </c>
      <c r="Q5" s="205">
        <v>-13585.333333333336</v>
      </c>
      <c r="R5" s="205">
        <v>-12586.333333333336</v>
      </c>
      <c r="S5" s="205">
        <v>-10587.333333333336</v>
      </c>
      <c r="T5" s="205">
        <v>-20088.333333333336</v>
      </c>
      <c r="U5" s="205">
        <v>-17589.333333333336</v>
      </c>
      <c r="V5" s="205">
        <v>-12590.333333333336</v>
      </c>
      <c r="W5" s="205">
        <v>-7591.3333333333358</v>
      </c>
    </row>
    <row r="6" spans="1:24" x14ac:dyDescent="0.2">
      <c r="A6" s="173" t="s">
        <v>468</v>
      </c>
      <c r="C6" s="205"/>
      <c r="D6" s="205"/>
      <c r="E6" s="205"/>
      <c r="F6" s="205"/>
      <c r="G6" s="205"/>
      <c r="H6" s="205"/>
      <c r="I6" s="205"/>
      <c r="J6" s="205"/>
      <c r="K6" s="205"/>
      <c r="L6" s="205"/>
      <c r="M6" s="205"/>
      <c r="N6" s="205"/>
      <c r="O6" s="205"/>
      <c r="P6" s="205"/>
      <c r="Q6" s="205"/>
      <c r="R6" s="205"/>
      <c r="S6" s="205"/>
      <c r="T6" s="205"/>
      <c r="U6" s="205"/>
      <c r="V6" s="205"/>
      <c r="W6" s="205"/>
    </row>
    <row r="7" spans="1:24" x14ac:dyDescent="0.2">
      <c r="A7" s="206" t="s">
        <v>469</v>
      </c>
      <c r="C7" s="205"/>
      <c r="D7" s="205">
        <v>-56117.160000000033</v>
      </c>
      <c r="E7" s="205">
        <v>8627.2900000000009</v>
      </c>
      <c r="F7" s="205">
        <v>-65324.959999999999</v>
      </c>
      <c r="G7" s="205">
        <v>117293.86</v>
      </c>
      <c r="H7" s="205">
        <v>-44311.97</v>
      </c>
      <c r="I7" s="205">
        <v>4294.8300000000017</v>
      </c>
      <c r="J7" s="205">
        <v>12394.32</v>
      </c>
      <c r="K7" s="205">
        <v>27622.82</v>
      </c>
      <c r="L7" s="205">
        <v>-18818.72</v>
      </c>
      <c r="M7" s="205">
        <v>-15651.960000000001</v>
      </c>
      <c r="N7" s="205">
        <v>-14149.849999999999</v>
      </c>
      <c r="O7" s="205">
        <v>41891.5</v>
      </c>
      <c r="P7" s="205">
        <v>0</v>
      </c>
      <c r="Q7" s="205">
        <v>0</v>
      </c>
      <c r="R7" s="205">
        <v>0</v>
      </c>
      <c r="S7" s="205">
        <v>0</v>
      </c>
      <c r="T7" s="205">
        <v>0</v>
      </c>
      <c r="U7" s="205">
        <v>0</v>
      </c>
      <c r="V7" s="205">
        <v>0</v>
      </c>
      <c r="W7" s="205">
        <v>0</v>
      </c>
    </row>
    <row r="8" spans="1:24" x14ac:dyDescent="0.2">
      <c r="C8" s="205"/>
      <c r="D8" s="205"/>
      <c r="E8" s="205"/>
      <c r="F8" s="205"/>
      <c r="G8" s="205"/>
      <c r="H8" s="205"/>
      <c r="I8" s="205"/>
      <c r="J8" s="205"/>
      <c r="K8" s="205"/>
      <c r="L8" s="205"/>
      <c r="M8" s="205"/>
      <c r="N8" s="205"/>
      <c r="O8" s="205"/>
      <c r="P8" s="205"/>
      <c r="Q8" s="205"/>
      <c r="R8" s="205"/>
      <c r="S8" s="205"/>
      <c r="T8" s="205"/>
      <c r="U8" s="205"/>
      <c r="V8" s="205"/>
      <c r="W8" s="205"/>
    </row>
    <row r="9" spans="1:24" x14ac:dyDescent="0.2">
      <c r="A9" s="196" t="s">
        <v>470</v>
      </c>
      <c r="C9" s="205"/>
      <c r="D9" s="205"/>
      <c r="E9" s="205"/>
      <c r="F9" s="205"/>
      <c r="G9" s="205"/>
      <c r="H9" s="205"/>
      <c r="I9" s="205"/>
      <c r="J9" s="205"/>
      <c r="K9" s="205"/>
      <c r="L9" s="205"/>
      <c r="M9" s="205"/>
      <c r="N9" s="205"/>
      <c r="O9" s="205"/>
      <c r="P9" s="205"/>
      <c r="Q9" s="205"/>
      <c r="R9" s="205"/>
      <c r="S9" s="205"/>
      <c r="T9" s="205"/>
      <c r="U9" s="205"/>
      <c r="V9" s="205"/>
      <c r="W9" s="205"/>
    </row>
    <row r="10" spans="1:24" x14ac:dyDescent="0.2">
      <c r="A10" s="206" t="s">
        <v>471</v>
      </c>
      <c r="C10" s="205">
        <v>7057.27</v>
      </c>
      <c r="D10" s="205">
        <v>0</v>
      </c>
      <c r="E10" s="205">
        <v>0</v>
      </c>
      <c r="F10" s="205">
        <v>0</v>
      </c>
      <c r="G10" s="205">
        <v>0</v>
      </c>
      <c r="H10" s="205">
        <v>0</v>
      </c>
      <c r="I10" s="205">
        <v>0</v>
      </c>
      <c r="J10" s="205">
        <v>0</v>
      </c>
      <c r="K10" s="205">
        <v>0</v>
      </c>
      <c r="L10" s="205">
        <v>0</v>
      </c>
      <c r="M10" s="205">
        <v>0</v>
      </c>
      <c r="N10" s="205">
        <v>0</v>
      </c>
      <c r="O10" s="205">
        <v>0</v>
      </c>
      <c r="P10" s="205">
        <v>0</v>
      </c>
      <c r="Q10" s="205">
        <v>0</v>
      </c>
      <c r="R10" s="205">
        <v>0</v>
      </c>
      <c r="S10" s="205">
        <v>0</v>
      </c>
      <c r="T10" s="205">
        <v>0</v>
      </c>
      <c r="U10" s="205">
        <v>0</v>
      </c>
      <c r="V10" s="205">
        <v>0</v>
      </c>
      <c r="W10" s="205">
        <v>0</v>
      </c>
    </row>
    <row r="11" spans="1:24" x14ac:dyDescent="0.2">
      <c r="A11" s="206" t="s">
        <v>472</v>
      </c>
      <c r="C11" s="205">
        <v>8405</v>
      </c>
      <c r="D11" s="205">
        <v>2995</v>
      </c>
      <c r="E11" s="205">
        <v>-8950</v>
      </c>
      <c r="F11" s="205">
        <v>27455</v>
      </c>
      <c r="G11" s="205">
        <v>-27342.5</v>
      </c>
      <c r="H11" s="205">
        <v>15620</v>
      </c>
      <c r="I11" s="205">
        <v>-5220</v>
      </c>
      <c r="J11" s="205">
        <v>-1812.0599999999995</v>
      </c>
      <c r="K11" s="205">
        <v>9154.99</v>
      </c>
      <c r="L11" s="205">
        <v>1558.4799999999996</v>
      </c>
      <c r="M11" s="205">
        <v>-21768.91</v>
      </c>
      <c r="N11" s="205">
        <v>16202.48</v>
      </c>
      <c r="O11" s="205">
        <v>-16297.48</v>
      </c>
      <c r="P11" s="205">
        <v>0</v>
      </c>
      <c r="Q11" s="205">
        <v>0</v>
      </c>
      <c r="R11" s="205">
        <v>0</v>
      </c>
      <c r="S11" s="205">
        <v>0</v>
      </c>
      <c r="T11" s="205">
        <v>0</v>
      </c>
      <c r="U11" s="205">
        <v>0</v>
      </c>
      <c r="V11" s="205">
        <v>0</v>
      </c>
      <c r="W11" s="205">
        <v>0</v>
      </c>
    </row>
    <row r="12" spans="1:24" x14ac:dyDescent="0.2">
      <c r="C12" s="205"/>
      <c r="D12" s="205"/>
      <c r="E12" s="205"/>
      <c r="F12" s="205"/>
      <c r="G12" s="205"/>
      <c r="H12" s="205"/>
      <c r="I12" s="205"/>
      <c r="J12" s="205"/>
      <c r="K12" s="205"/>
      <c r="L12" s="205"/>
      <c r="M12" s="205"/>
      <c r="N12" s="205"/>
      <c r="O12" s="205"/>
      <c r="P12" s="205"/>
      <c r="Q12" s="205"/>
      <c r="R12" s="205"/>
      <c r="S12" s="205"/>
      <c r="T12" s="205"/>
      <c r="U12" s="205"/>
      <c r="V12" s="205"/>
      <c r="W12" s="205"/>
    </row>
    <row r="13" spans="1:24" x14ac:dyDescent="0.2">
      <c r="A13" s="196" t="s">
        <v>473</v>
      </c>
      <c r="C13" s="205">
        <f>SUM(C7:C11)</f>
        <v>15462.27</v>
      </c>
      <c r="D13" s="205">
        <f t="shared" ref="D13:V13" si="0">SUM(D7:D11)</f>
        <v>-53122.160000000033</v>
      </c>
      <c r="E13" s="205">
        <f t="shared" si="0"/>
        <v>-322.70999999999913</v>
      </c>
      <c r="F13" s="205">
        <f t="shared" si="0"/>
        <v>-37869.96</v>
      </c>
      <c r="G13" s="205">
        <f t="shared" si="0"/>
        <v>89951.360000000001</v>
      </c>
      <c r="H13" s="205">
        <f t="shared" si="0"/>
        <v>-28691.97</v>
      </c>
      <c r="I13" s="205">
        <f t="shared" si="0"/>
        <v>-925.16999999999825</v>
      </c>
      <c r="J13" s="205">
        <f t="shared" si="0"/>
        <v>10582.26</v>
      </c>
      <c r="K13" s="205">
        <f t="shared" si="0"/>
        <v>36777.81</v>
      </c>
      <c r="L13" s="205">
        <f t="shared" si="0"/>
        <v>-17260.240000000002</v>
      </c>
      <c r="M13" s="205">
        <f t="shared" si="0"/>
        <v>-37420.870000000003</v>
      </c>
      <c r="N13" s="205">
        <f t="shared" si="0"/>
        <v>2052.630000000001</v>
      </c>
      <c r="O13" s="205">
        <f t="shared" si="0"/>
        <v>25594.02</v>
      </c>
      <c r="P13" s="205">
        <f t="shared" si="0"/>
        <v>0</v>
      </c>
      <c r="Q13" s="205">
        <f t="shared" si="0"/>
        <v>0</v>
      </c>
      <c r="R13" s="205">
        <f t="shared" si="0"/>
        <v>0</v>
      </c>
      <c r="S13" s="205">
        <f t="shared" si="0"/>
        <v>0</v>
      </c>
      <c r="T13" s="205">
        <f t="shared" si="0"/>
        <v>0</v>
      </c>
      <c r="U13" s="205">
        <f t="shared" si="0"/>
        <v>0</v>
      </c>
      <c r="V13" s="205">
        <f t="shared" si="0"/>
        <v>0</v>
      </c>
      <c r="W13" s="205"/>
    </row>
    <row r="14" spans="1:24" x14ac:dyDescent="0.2">
      <c r="C14" s="205"/>
      <c r="D14" s="205"/>
      <c r="E14" s="205"/>
      <c r="F14" s="205"/>
      <c r="G14" s="205"/>
      <c r="H14" s="205"/>
      <c r="I14" s="205"/>
      <c r="J14" s="205"/>
      <c r="K14" s="205"/>
      <c r="L14" s="205"/>
      <c r="M14" s="205"/>
      <c r="N14" s="205"/>
      <c r="O14" s="205"/>
      <c r="P14" s="205"/>
      <c r="Q14" s="205"/>
      <c r="R14" s="205"/>
      <c r="S14" s="205"/>
      <c r="T14" s="205"/>
      <c r="U14" s="205"/>
      <c r="V14" s="205"/>
      <c r="W14" s="205"/>
    </row>
    <row r="15" spans="1:24" ht="13.5" thickBot="1" x14ac:dyDescent="0.25">
      <c r="A15" s="204" t="s">
        <v>474</v>
      </c>
      <c r="C15" s="207">
        <f>C5+C13</f>
        <v>298060.66000000003</v>
      </c>
      <c r="D15" s="207">
        <f t="shared" ref="D15:W15" si="1">D5+D13</f>
        <v>230144.63999999996</v>
      </c>
      <c r="E15" s="207">
        <f t="shared" si="1"/>
        <v>-30849.46</v>
      </c>
      <c r="F15" s="207">
        <f t="shared" si="1"/>
        <v>-106000.10999999999</v>
      </c>
      <c r="G15" s="207">
        <f t="shared" si="1"/>
        <v>63319</v>
      </c>
      <c r="H15" s="207">
        <f t="shared" si="1"/>
        <v>-77293</v>
      </c>
      <c r="I15" s="207">
        <f t="shared" si="1"/>
        <v>30749.9</v>
      </c>
      <c r="J15" s="207">
        <f t="shared" si="1"/>
        <v>67023.42</v>
      </c>
      <c r="K15" s="207">
        <f t="shared" si="1"/>
        <v>9414.8199999999961</v>
      </c>
      <c r="L15" s="207">
        <f t="shared" si="1"/>
        <v>-20400.43</v>
      </c>
      <c r="M15" s="207">
        <f t="shared" si="1"/>
        <v>-48245.05</v>
      </c>
      <c r="N15" s="207">
        <f t="shared" si="1"/>
        <v>-55674.520000000004</v>
      </c>
      <c r="O15" s="207">
        <f t="shared" si="1"/>
        <v>14510.686666666665</v>
      </c>
      <c r="P15" s="207">
        <f t="shared" si="1"/>
        <v>-11084.333333333336</v>
      </c>
      <c r="Q15" s="207">
        <f t="shared" si="1"/>
        <v>-13585.333333333336</v>
      </c>
      <c r="R15" s="207">
        <f t="shared" si="1"/>
        <v>-12586.333333333336</v>
      </c>
      <c r="S15" s="207">
        <f t="shared" si="1"/>
        <v>-10587.333333333336</v>
      </c>
      <c r="T15" s="207">
        <f t="shared" si="1"/>
        <v>-20088.333333333336</v>
      </c>
      <c r="U15" s="207">
        <f t="shared" si="1"/>
        <v>-17589.333333333336</v>
      </c>
      <c r="V15" s="207">
        <f t="shared" si="1"/>
        <v>-12590.333333333336</v>
      </c>
      <c r="W15" s="207">
        <f t="shared" si="1"/>
        <v>-7591.3333333333358</v>
      </c>
    </row>
    <row r="16" spans="1:24" ht="13.5" thickTop="1" x14ac:dyDescent="0.2">
      <c r="C16" s="205"/>
      <c r="D16" s="205"/>
      <c r="E16" s="205"/>
      <c r="F16" s="205"/>
      <c r="G16" s="205"/>
      <c r="H16" s="205"/>
      <c r="I16" s="205"/>
      <c r="J16" s="205"/>
      <c r="K16" s="205"/>
      <c r="L16" s="205"/>
      <c r="M16" s="205"/>
      <c r="N16" s="205"/>
      <c r="O16" s="205"/>
      <c r="P16" s="205"/>
      <c r="Q16" s="205"/>
      <c r="R16" s="205"/>
      <c r="S16" s="205"/>
      <c r="T16" s="205"/>
      <c r="U16" s="205"/>
      <c r="V16" s="205"/>
      <c r="W16" s="205"/>
    </row>
    <row r="17" spans="1:23" x14ac:dyDescent="0.2">
      <c r="A17" s="204" t="s">
        <v>475</v>
      </c>
      <c r="C17" s="205"/>
      <c r="D17" s="205"/>
      <c r="E17" s="205"/>
      <c r="F17" s="205"/>
      <c r="G17" s="205"/>
      <c r="H17" s="205"/>
      <c r="I17" s="205"/>
      <c r="J17" s="205"/>
      <c r="K17" s="205"/>
      <c r="L17" s="205"/>
      <c r="M17" s="205"/>
      <c r="N17" s="205"/>
      <c r="O17" s="205"/>
      <c r="P17" s="205"/>
      <c r="Q17" s="205"/>
      <c r="R17" s="205"/>
      <c r="S17" s="205"/>
      <c r="T17" s="205"/>
      <c r="U17" s="205"/>
      <c r="V17" s="205"/>
      <c r="W17" s="205"/>
    </row>
    <row r="18" spans="1:23" x14ac:dyDescent="0.2">
      <c r="A18" s="206" t="s">
        <v>476</v>
      </c>
      <c r="C18" s="205"/>
      <c r="D18" s="205">
        <v>430446.6</v>
      </c>
      <c r="E18" s="205"/>
      <c r="F18" s="205"/>
      <c r="G18" s="205"/>
      <c r="H18" s="205"/>
      <c r="I18" s="205"/>
      <c r="J18" s="205"/>
      <c r="K18" s="205"/>
      <c r="L18" s="205"/>
      <c r="M18" s="205"/>
      <c r="N18" s="205"/>
      <c r="O18" s="205"/>
      <c r="P18" s="205"/>
      <c r="Q18" s="205"/>
      <c r="R18" s="205"/>
      <c r="S18" s="205"/>
      <c r="T18" s="205"/>
      <c r="U18" s="205"/>
      <c r="V18" s="205"/>
      <c r="W18" s="205"/>
    </row>
    <row r="19" spans="1:23" x14ac:dyDescent="0.2">
      <c r="C19" s="205"/>
      <c r="D19" s="205"/>
      <c r="E19" s="205"/>
      <c r="F19" s="205"/>
      <c r="G19" s="205"/>
      <c r="H19" s="205"/>
      <c r="I19" s="205"/>
      <c r="J19" s="205"/>
      <c r="K19" s="205"/>
      <c r="L19" s="205"/>
      <c r="M19" s="205"/>
      <c r="N19" s="205"/>
      <c r="O19" s="205"/>
      <c r="P19" s="205"/>
      <c r="Q19" s="205"/>
      <c r="R19" s="205"/>
      <c r="S19" s="205"/>
      <c r="T19" s="205"/>
      <c r="U19" s="205"/>
      <c r="V19" s="205"/>
      <c r="W19" s="205"/>
    </row>
    <row r="20" spans="1:23" ht="13.5" thickBot="1" x14ac:dyDescent="0.25">
      <c r="A20" s="204" t="s">
        <v>477</v>
      </c>
      <c r="C20" s="207">
        <f>SUM(C18:C19)</f>
        <v>0</v>
      </c>
      <c r="D20" s="207">
        <f t="shared" ref="D20:W20" si="2">SUM(D18:D19)</f>
        <v>430446.6</v>
      </c>
      <c r="E20" s="207">
        <f t="shared" si="2"/>
        <v>0</v>
      </c>
      <c r="F20" s="207">
        <f t="shared" si="2"/>
        <v>0</v>
      </c>
      <c r="G20" s="207">
        <f t="shared" si="2"/>
        <v>0</v>
      </c>
      <c r="H20" s="207">
        <f t="shared" si="2"/>
        <v>0</v>
      </c>
      <c r="I20" s="207">
        <f t="shared" si="2"/>
        <v>0</v>
      </c>
      <c r="J20" s="207">
        <f t="shared" si="2"/>
        <v>0</v>
      </c>
      <c r="K20" s="207">
        <f t="shared" si="2"/>
        <v>0</v>
      </c>
      <c r="L20" s="207">
        <f t="shared" si="2"/>
        <v>0</v>
      </c>
      <c r="M20" s="207">
        <f t="shared" si="2"/>
        <v>0</v>
      </c>
      <c r="N20" s="207">
        <f t="shared" si="2"/>
        <v>0</v>
      </c>
      <c r="O20" s="207">
        <f t="shared" si="2"/>
        <v>0</v>
      </c>
      <c r="P20" s="207">
        <f t="shared" si="2"/>
        <v>0</v>
      </c>
      <c r="Q20" s="207">
        <f t="shared" si="2"/>
        <v>0</v>
      </c>
      <c r="R20" s="207">
        <f t="shared" si="2"/>
        <v>0</v>
      </c>
      <c r="S20" s="207">
        <f t="shared" si="2"/>
        <v>0</v>
      </c>
      <c r="T20" s="207">
        <f t="shared" si="2"/>
        <v>0</v>
      </c>
      <c r="U20" s="207">
        <f t="shared" si="2"/>
        <v>0</v>
      </c>
      <c r="V20" s="207">
        <f t="shared" si="2"/>
        <v>0</v>
      </c>
      <c r="W20" s="207">
        <f t="shared" si="2"/>
        <v>0</v>
      </c>
    </row>
    <row r="21" spans="1:23" ht="13.5" thickTop="1" x14ac:dyDescent="0.2">
      <c r="C21" s="205"/>
      <c r="D21" s="205"/>
      <c r="E21" s="205"/>
      <c r="F21" s="205"/>
      <c r="G21" s="205"/>
      <c r="H21" s="205"/>
      <c r="I21" s="205"/>
      <c r="J21" s="205"/>
      <c r="K21" s="205"/>
      <c r="L21" s="205"/>
      <c r="M21" s="205"/>
      <c r="N21" s="205"/>
      <c r="O21" s="205"/>
      <c r="P21" s="205"/>
      <c r="Q21" s="205"/>
      <c r="R21" s="205"/>
      <c r="S21" s="205"/>
      <c r="T21" s="205"/>
      <c r="U21" s="205"/>
      <c r="V21" s="205"/>
      <c r="W21" s="205"/>
    </row>
    <row r="22" spans="1:23" x14ac:dyDescent="0.2">
      <c r="A22" s="204" t="s">
        <v>478</v>
      </c>
      <c r="C22" s="205"/>
      <c r="D22" s="205"/>
      <c r="E22" s="205"/>
      <c r="F22" s="205"/>
      <c r="G22" s="205"/>
      <c r="H22" s="205"/>
      <c r="I22" s="205"/>
      <c r="J22" s="205"/>
      <c r="K22" s="205"/>
      <c r="L22" s="205"/>
      <c r="M22" s="205"/>
      <c r="N22" s="205"/>
      <c r="O22" s="205"/>
      <c r="P22" s="205"/>
      <c r="Q22" s="205"/>
      <c r="R22" s="205"/>
      <c r="S22" s="205"/>
      <c r="T22" s="205"/>
      <c r="U22" s="205"/>
      <c r="V22" s="205"/>
      <c r="W22" s="205"/>
    </row>
    <row r="23" spans="1:23" x14ac:dyDescent="0.2">
      <c r="A23" s="173" t="s">
        <v>479</v>
      </c>
      <c r="C23" s="205"/>
      <c r="D23" s="205"/>
      <c r="E23" s="205"/>
      <c r="F23" s="205"/>
      <c r="G23" s="205"/>
      <c r="H23" s="205"/>
      <c r="I23" s="205"/>
      <c r="J23" s="205">
        <v>-155727</v>
      </c>
      <c r="K23" s="205"/>
      <c r="L23" s="205"/>
      <c r="M23" s="205"/>
      <c r="N23" s="205"/>
      <c r="O23" s="205"/>
      <c r="P23" s="205"/>
      <c r="Q23" s="205"/>
      <c r="R23" s="205"/>
      <c r="S23" s="205"/>
      <c r="T23" s="205"/>
      <c r="U23" s="205"/>
      <c r="V23" s="205"/>
      <c r="W23" s="205"/>
    </row>
    <row r="24" spans="1:23" x14ac:dyDescent="0.2">
      <c r="A24" s="173" t="s">
        <v>480</v>
      </c>
      <c r="C24" s="205"/>
      <c r="D24" s="205"/>
      <c r="E24" s="205"/>
      <c r="F24" s="205"/>
      <c r="G24" s="205"/>
      <c r="H24" s="205"/>
      <c r="I24" s="205"/>
      <c r="J24" s="205"/>
      <c r="K24" s="205"/>
      <c r="L24" s="205">
        <v>-62500</v>
      </c>
      <c r="M24" s="205"/>
      <c r="N24" s="205"/>
      <c r="O24" s="205"/>
      <c r="P24" s="205"/>
      <c r="Q24" s="205"/>
      <c r="R24" s="205"/>
      <c r="S24" s="205"/>
      <c r="T24" s="205"/>
      <c r="U24" s="205"/>
      <c r="V24" s="205"/>
      <c r="W24" s="205"/>
    </row>
    <row r="25" spans="1:23" x14ac:dyDescent="0.2">
      <c r="C25" s="205"/>
      <c r="D25" s="205"/>
      <c r="E25" s="205"/>
      <c r="F25" s="205"/>
      <c r="G25" s="205"/>
      <c r="H25" s="205"/>
      <c r="I25" s="205"/>
      <c r="J25" s="205"/>
      <c r="K25" s="205"/>
      <c r="L25" s="205"/>
      <c r="M25" s="205"/>
      <c r="N25" s="205"/>
      <c r="O25" s="205"/>
      <c r="P25" s="205"/>
      <c r="Q25" s="205"/>
      <c r="R25" s="205"/>
      <c r="S25" s="205"/>
      <c r="T25" s="205"/>
      <c r="U25" s="205"/>
      <c r="V25" s="205"/>
      <c r="W25" s="205"/>
    </row>
    <row r="26" spans="1:23" x14ac:dyDescent="0.2">
      <c r="C26" s="205"/>
      <c r="D26" s="205"/>
      <c r="E26" s="205"/>
      <c r="F26" s="205"/>
      <c r="G26" s="205"/>
      <c r="H26" s="205"/>
      <c r="I26" s="205"/>
      <c r="J26" s="205"/>
      <c r="K26" s="205"/>
      <c r="L26" s="205"/>
      <c r="M26" s="205"/>
      <c r="N26" s="205"/>
      <c r="O26" s="205"/>
      <c r="P26" s="205"/>
      <c r="Q26" s="205"/>
      <c r="R26" s="205"/>
      <c r="S26" s="205"/>
      <c r="T26" s="205"/>
      <c r="U26" s="205"/>
      <c r="V26" s="205"/>
      <c r="W26" s="205"/>
    </row>
    <row r="27" spans="1:23" ht="13.5" thickBot="1" x14ac:dyDescent="0.25">
      <c r="A27" s="204" t="s">
        <v>481</v>
      </c>
      <c r="C27" s="207">
        <f>SUM(C23:C25)</f>
        <v>0</v>
      </c>
      <c r="D27" s="207">
        <f t="shared" ref="D27:W27" si="3">SUM(D23:D25)</f>
        <v>0</v>
      </c>
      <c r="E27" s="207">
        <f t="shared" si="3"/>
        <v>0</v>
      </c>
      <c r="F27" s="207">
        <f t="shared" si="3"/>
        <v>0</v>
      </c>
      <c r="G27" s="207">
        <f t="shared" si="3"/>
        <v>0</v>
      </c>
      <c r="H27" s="207">
        <f t="shared" si="3"/>
        <v>0</v>
      </c>
      <c r="I27" s="207">
        <f t="shared" si="3"/>
        <v>0</v>
      </c>
      <c r="J27" s="207">
        <f t="shared" si="3"/>
        <v>-155727</v>
      </c>
      <c r="K27" s="207">
        <f t="shared" si="3"/>
        <v>0</v>
      </c>
      <c r="L27" s="207">
        <f t="shared" si="3"/>
        <v>-62500</v>
      </c>
      <c r="M27" s="207">
        <f t="shared" si="3"/>
        <v>0</v>
      </c>
      <c r="N27" s="207">
        <f t="shared" si="3"/>
        <v>0</v>
      </c>
      <c r="O27" s="207">
        <f t="shared" si="3"/>
        <v>0</v>
      </c>
      <c r="P27" s="207">
        <f t="shared" si="3"/>
        <v>0</v>
      </c>
      <c r="Q27" s="207">
        <f t="shared" si="3"/>
        <v>0</v>
      </c>
      <c r="R27" s="207">
        <f t="shared" si="3"/>
        <v>0</v>
      </c>
      <c r="S27" s="207">
        <f t="shared" si="3"/>
        <v>0</v>
      </c>
      <c r="T27" s="207">
        <f t="shared" si="3"/>
        <v>0</v>
      </c>
      <c r="U27" s="207">
        <f t="shared" si="3"/>
        <v>0</v>
      </c>
      <c r="V27" s="207">
        <f t="shared" si="3"/>
        <v>0</v>
      </c>
      <c r="W27" s="207">
        <f t="shared" si="3"/>
        <v>0</v>
      </c>
    </row>
    <row r="28" spans="1:23" ht="13.5" thickTop="1" x14ac:dyDescent="0.2">
      <c r="C28" s="205"/>
      <c r="D28" s="205"/>
      <c r="E28" s="205"/>
      <c r="F28" s="205"/>
      <c r="G28" s="205"/>
      <c r="H28" s="205"/>
      <c r="I28" s="205"/>
      <c r="J28" s="205"/>
      <c r="K28" s="205"/>
      <c r="L28" s="205"/>
      <c r="M28" s="205"/>
      <c r="N28" s="205"/>
      <c r="O28" s="205"/>
      <c r="P28" s="205"/>
      <c r="Q28" s="205"/>
      <c r="R28" s="205"/>
      <c r="S28" s="205"/>
      <c r="T28" s="205"/>
      <c r="U28" s="205"/>
      <c r="V28" s="205"/>
      <c r="W28" s="205"/>
    </row>
    <row r="29" spans="1:23" ht="13.5" thickBot="1" x14ac:dyDescent="0.25">
      <c r="A29" s="196" t="s">
        <v>482</v>
      </c>
      <c r="C29" s="207"/>
      <c r="D29" s="207">
        <f>D15+D20+D27</f>
        <v>660591.24</v>
      </c>
      <c r="E29" s="207">
        <f t="shared" ref="E29:W29" si="4">E15+E20+E27</f>
        <v>-30849.46</v>
      </c>
      <c r="F29" s="207">
        <f t="shared" si="4"/>
        <v>-106000.10999999999</v>
      </c>
      <c r="G29" s="207">
        <f t="shared" si="4"/>
        <v>63319</v>
      </c>
      <c r="H29" s="207">
        <f t="shared" si="4"/>
        <v>-77293</v>
      </c>
      <c r="I29" s="207">
        <f t="shared" si="4"/>
        <v>30749.9</v>
      </c>
      <c r="J29" s="207">
        <f t="shared" si="4"/>
        <v>-88703.58</v>
      </c>
      <c r="K29" s="207">
        <f t="shared" si="4"/>
        <v>9414.8199999999961</v>
      </c>
      <c r="L29" s="207">
        <f t="shared" si="4"/>
        <v>-82900.429999999993</v>
      </c>
      <c r="M29" s="207">
        <f t="shared" si="4"/>
        <v>-48245.05</v>
      </c>
      <c r="N29" s="207">
        <f t="shared" si="4"/>
        <v>-55674.520000000004</v>
      </c>
      <c r="O29" s="207">
        <f t="shared" si="4"/>
        <v>14510.686666666665</v>
      </c>
      <c r="P29" s="207">
        <f t="shared" si="4"/>
        <v>-11084.333333333336</v>
      </c>
      <c r="Q29" s="207">
        <f t="shared" si="4"/>
        <v>-13585.333333333336</v>
      </c>
      <c r="R29" s="207">
        <f t="shared" si="4"/>
        <v>-12586.333333333336</v>
      </c>
      <c r="S29" s="207">
        <f t="shared" si="4"/>
        <v>-10587.333333333336</v>
      </c>
      <c r="T29" s="207">
        <f t="shared" si="4"/>
        <v>-20088.333333333336</v>
      </c>
      <c r="U29" s="207">
        <f t="shared" si="4"/>
        <v>-17589.333333333336</v>
      </c>
      <c r="V29" s="207">
        <f t="shared" si="4"/>
        <v>-12590.333333333336</v>
      </c>
      <c r="W29" s="207">
        <f t="shared" si="4"/>
        <v>-7591.3333333333358</v>
      </c>
    </row>
    <row r="30" spans="1:23" ht="13.5" thickTop="1" x14ac:dyDescent="0.2">
      <c r="C30" s="205"/>
      <c r="D30" s="205"/>
      <c r="E30" s="205"/>
      <c r="F30" s="205"/>
      <c r="G30" s="205"/>
      <c r="H30" s="205"/>
      <c r="I30" s="205"/>
      <c r="J30" s="205"/>
      <c r="K30" s="205"/>
      <c r="L30" s="205"/>
      <c r="M30" s="205"/>
      <c r="N30" s="205"/>
      <c r="O30" s="205"/>
      <c r="P30" s="205"/>
      <c r="Q30" s="205"/>
      <c r="R30" s="205"/>
      <c r="S30" s="205"/>
      <c r="T30" s="205"/>
      <c r="U30" s="205"/>
      <c r="V30" s="205"/>
      <c r="W30" s="205"/>
    </row>
    <row r="31" spans="1:23" x14ac:dyDescent="0.2">
      <c r="A31" s="196" t="s">
        <v>483</v>
      </c>
      <c r="C31" s="205"/>
      <c r="D31" s="205">
        <v>68676</v>
      </c>
      <c r="E31" s="205">
        <v>729267.24</v>
      </c>
      <c r="F31" s="205">
        <v>698417.78</v>
      </c>
      <c r="G31" s="205">
        <v>592417.67000000004</v>
      </c>
      <c r="H31" s="205">
        <v>655736.67000000004</v>
      </c>
      <c r="I31" s="205">
        <v>578443.67000000004</v>
      </c>
      <c r="J31" s="205">
        <v>609193.56999999995</v>
      </c>
      <c r="K31" s="205">
        <v>520489.99</v>
      </c>
      <c r="L31" s="205">
        <v>530268.44999999995</v>
      </c>
      <c r="M31" s="205">
        <v>447368.02</v>
      </c>
      <c r="N31" s="205">
        <v>399122.97</v>
      </c>
      <c r="O31" s="205">
        <v>343448.45</v>
      </c>
      <c r="P31" s="205">
        <f>O33</f>
        <v>357959.13666666666</v>
      </c>
      <c r="Q31" s="205">
        <f t="shared" ref="Q31:W31" si="5">P33</f>
        <v>346874.80333333334</v>
      </c>
      <c r="R31" s="205">
        <f t="shared" si="5"/>
        <v>333289.47000000003</v>
      </c>
      <c r="S31" s="205">
        <f t="shared" si="5"/>
        <v>320703.13666666672</v>
      </c>
      <c r="T31" s="205">
        <f t="shared" si="5"/>
        <v>310115.8033333334</v>
      </c>
      <c r="U31" s="205">
        <f t="shared" si="5"/>
        <v>290027.47000000009</v>
      </c>
      <c r="V31" s="205">
        <f t="shared" si="5"/>
        <v>272438.13666666677</v>
      </c>
      <c r="W31" s="205">
        <f t="shared" si="5"/>
        <v>259847.80333333343</v>
      </c>
    </row>
    <row r="32" spans="1:23" x14ac:dyDescent="0.2">
      <c r="A32" s="173" t="s">
        <v>484</v>
      </c>
      <c r="C32" s="205"/>
      <c r="D32" s="205"/>
      <c r="E32" s="205"/>
      <c r="F32" s="205"/>
      <c r="G32" s="205"/>
      <c r="H32" s="205"/>
      <c r="I32" s="205"/>
      <c r="J32" s="205"/>
      <c r="K32" s="205"/>
      <c r="L32" s="205"/>
      <c r="M32" s="205"/>
      <c r="N32" s="205"/>
      <c r="O32" s="205"/>
      <c r="P32" s="205"/>
      <c r="Q32" s="205"/>
      <c r="R32" s="205"/>
      <c r="S32" s="205"/>
      <c r="T32" s="205"/>
      <c r="U32" s="205"/>
      <c r="V32" s="205"/>
      <c r="W32" s="205"/>
    </row>
    <row r="33" spans="1:23" ht="13.5" thickBot="1" x14ac:dyDescent="0.25">
      <c r="A33" s="204" t="s">
        <v>485</v>
      </c>
      <c r="C33" s="207"/>
      <c r="D33" s="207">
        <f>D29+D31+D32</f>
        <v>729267.24</v>
      </c>
      <c r="E33" s="207">
        <f t="shared" ref="E33:W33" si="6">E29+E31+E32</f>
        <v>698417.78</v>
      </c>
      <c r="F33" s="207">
        <f t="shared" si="6"/>
        <v>592417.67000000004</v>
      </c>
      <c r="G33" s="207">
        <f t="shared" si="6"/>
        <v>655736.67000000004</v>
      </c>
      <c r="H33" s="207">
        <f t="shared" si="6"/>
        <v>578443.67000000004</v>
      </c>
      <c r="I33" s="207">
        <f t="shared" si="6"/>
        <v>609193.57000000007</v>
      </c>
      <c r="J33" s="207">
        <f t="shared" si="6"/>
        <v>520489.98999999993</v>
      </c>
      <c r="K33" s="207">
        <f t="shared" si="6"/>
        <v>529904.80999999994</v>
      </c>
      <c r="L33" s="207">
        <f t="shared" si="6"/>
        <v>447368.01999999996</v>
      </c>
      <c r="M33" s="207">
        <f t="shared" si="6"/>
        <v>399122.97000000003</v>
      </c>
      <c r="N33" s="207">
        <f t="shared" si="6"/>
        <v>343448.44999999995</v>
      </c>
      <c r="O33" s="207">
        <f t="shared" si="6"/>
        <v>357959.13666666666</v>
      </c>
      <c r="P33" s="207">
        <f t="shared" si="6"/>
        <v>346874.80333333334</v>
      </c>
      <c r="Q33" s="207">
        <f t="shared" si="6"/>
        <v>333289.47000000003</v>
      </c>
      <c r="R33" s="207">
        <f t="shared" si="6"/>
        <v>320703.13666666672</v>
      </c>
      <c r="S33" s="207">
        <f t="shared" si="6"/>
        <v>310115.8033333334</v>
      </c>
      <c r="T33" s="207">
        <f t="shared" si="6"/>
        <v>290027.47000000009</v>
      </c>
      <c r="U33" s="207">
        <f t="shared" si="6"/>
        <v>272438.13666666677</v>
      </c>
      <c r="V33" s="207">
        <f t="shared" si="6"/>
        <v>259847.80333333343</v>
      </c>
      <c r="W33" s="207">
        <f t="shared" si="6"/>
        <v>252256.47000000009</v>
      </c>
    </row>
    <row r="34" spans="1:23" ht="13.5" thickTop="1" x14ac:dyDescent="0.2">
      <c r="C34" s="205"/>
      <c r="D34" s="205"/>
      <c r="E34" s="205"/>
      <c r="F34" s="205"/>
      <c r="G34" s="205"/>
      <c r="H34" s="205"/>
      <c r="I34" s="205"/>
      <c r="J34" s="205"/>
      <c r="K34" s="205"/>
      <c r="L34" s="205"/>
      <c r="M34" s="205"/>
      <c r="N34" s="205"/>
      <c r="O34" s="205"/>
      <c r="P34" s="205"/>
      <c r="Q34" s="205"/>
      <c r="R34" s="205"/>
      <c r="S34" s="205"/>
      <c r="T34" s="205"/>
      <c r="U34" s="205"/>
      <c r="V34" s="205"/>
      <c r="W34" s="205"/>
    </row>
    <row r="35" spans="1:23" x14ac:dyDescent="0.2">
      <c r="A35" s="173" t="s">
        <v>486</v>
      </c>
      <c r="C35" s="205"/>
      <c r="D35" s="205">
        <v>729267.24</v>
      </c>
      <c r="E35" s="205">
        <v>698417.78</v>
      </c>
      <c r="F35" s="205">
        <v>592417.67000000004</v>
      </c>
      <c r="G35" s="205">
        <v>655736.67000000004</v>
      </c>
      <c r="H35" s="205">
        <v>578443.67000000004</v>
      </c>
      <c r="I35" s="205">
        <v>609193.56999999995</v>
      </c>
      <c r="J35" s="205">
        <v>520489.99</v>
      </c>
      <c r="K35" s="205">
        <v>530268.44999999995</v>
      </c>
      <c r="L35" s="205">
        <v>447368.02</v>
      </c>
      <c r="M35" s="205">
        <v>399122.97</v>
      </c>
      <c r="N35" s="205">
        <v>343448.45</v>
      </c>
      <c r="O35" s="208">
        <v>0</v>
      </c>
      <c r="P35" s="208">
        <v>0</v>
      </c>
      <c r="Q35" s="208">
        <v>0</v>
      </c>
      <c r="R35" s="208">
        <v>0</v>
      </c>
      <c r="S35" s="208">
        <v>0</v>
      </c>
      <c r="T35" s="208">
        <v>0</v>
      </c>
      <c r="U35" s="208">
        <v>0</v>
      </c>
      <c r="V35" s="208">
        <v>0</v>
      </c>
      <c r="W35" s="208">
        <v>0</v>
      </c>
    </row>
    <row r="36" spans="1:23" x14ac:dyDescent="0.2">
      <c r="C36" s="205"/>
      <c r="D36" s="205"/>
      <c r="E36" s="205"/>
      <c r="F36" s="205"/>
      <c r="G36" s="205"/>
      <c r="H36" s="205"/>
      <c r="I36" s="205"/>
      <c r="J36" s="205"/>
      <c r="K36" s="205"/>
      <c r="L36" s="205"/>
      <c r="M36" s="205"/>
      <c r="N36" s="205"/>
      <c r="O36" s="205"/>
      <c r="P36" s="205"/>
      <c r="Q36" s="205"/>
      <c r="R36" s="205"/>
      <c r="S36" s="205"/>
      <c r="T36" s="205"/>
      <c r="U36" s="205"/>
      <c r="V36" s="205"/>
      <c r="W36" s="205"/>
    </row>
    <row r="37" spans="1:23" x14ac:dyDescent="0.2">
      <c r="C37" s="205"/>
      <c r="D37" s="209">
        <f>D33-D35</f>
        <v>0</v>
      </c>
      <c r="E37" s="209">
        <f t="shared" ref="E37:W37" si="7">E33-E35</f>
        <v>0</v>
      </c>
      <c r="F37" s="209">
        <f t="shared" si="7"/>
        <v>0</v>
      </c>
      <c r="G37" s="209">
        <f t="shared" si="7"/>
        <v>0</v>
      </c>
      <c r="H37" s="209">
        <f t="shared" si="7"/>
        <v>0</v>
      </c>
      <c r="I37" s="209">
        <f t="shared" si="7"/>
        <v>0</v>
      </c>
      <c r="J37" s="209">
        <f t="shared" si="7"/>
        <v>0</v>
      </c>
      <c r="K37" s="209">
        <f t="shared" si="7"/>
        <v>-363.64000000001397</v>
      </c>
      <c r="L37" s="209">
        <f t="shared" si="7"/>
        <v>0</v>
      </c>
      <c r="M37" s="209">
        <f t="shared" si="7"/>
        <v>0</v>
      </c>
      <c r="N37" s="209">
        <f t="shared" si="7"/>
        <v>0</v>
      </c>
      <c r="O37" s="209">
        <f t="shared" si="7"/>
        <v>357959.13666666666</v>
      </c>
      <c r="P37" s="209">
        <f t="shared" si="7"/>
        <v>346874.80333333334</v>
      </c>
      <c r="Q37" s="209">
        <f t="shared" si="7"/>
        <v>333289.47000000003</v>
      </c>
      <c r="R37" s="209">
        <f t="shared" si="7"/>
        <v>320703.13666666672</v>
      </c>
      <c r="S37" s="209">
        <f t="shared" si="7"/>
        <v>310115.8033333334</v>
      </c>
      <c r="T37" s="209">
        <f t="shared" si="7"/>
        <v>290027.47000000009</v>
      </c>
      <c r="U37" s="209">
        <f t="shared" si="7"/>
        <v>272438.13666666677</v>
      </c>
      <c r="V37" s="209">
        <f t="shared" si="7"/>
        <v>259847.80333333343</v>
      </c>
      <c r="W37" s="209">
        <f t="shared" si="7"/>
        <v>252256.47000000009</v>
      </c>
    </row>
    <row r="38" spans="1:23" x14ac:dyDescent="0.2">
      <c r="C38" s="205"/>
      <c r="D38" s="205"/>
      <c r="E38" s="205"/>
      <c r="F38" s="205"/>
      <c r="G38" s="205"/>
      <c r="H38" s="205"/>
      <c r="I38" s="205"/>
      <c r="J38" s="205"/>
      <c r="K38" s="205"/>
      <c r="L38" s="205"/>
      <c r="M38" s="205"/>
      <c r="N38" s="205"/>
      <c r="O38" s="205"/>
      <c r="P38" s="205"/>
      <c r="Q38" s="205"/>
      <c r="R38" s="205"/>
      <c r="S38" s="205"/>
      <c r="T38" s="205"/>
      <c r="U38" s="205"/>
      <c r="V38" s="205"/>
      <c r="W38" s="205"/>
    </row>
    <row r="39" spans="1:23" x14ac:dyDescent="0.2">
      <c r="C39" s="205"/>
      <c r="D39" s="205"/>
      <c r="E39" s="205"/>
      <c r="F39" s="205"/>
      <c r="G39" s="205"/>
      <c r="H39" s="205"/>
      <c r="I39" s="205"/>
      <c r="J39" s="205"/>
      <c r="K39" s="205"/>
      <c r="L39" s="205"/>
      <c r="M39" s="205"/>
      <c r="N39" s="205"/>
      <c r="O39" s="205"/>
      <c r="P39" s="205"/>
      <c r="Q39" s="205"/>
      <c r="R39" s="205"/>
      <c r="S39" s="205"/>
      <c r="T39" s="205"/>
      <c r="U39" s="205"/>
      <c r="V39" s="205"/>
      <c r="W39" s="205"/>
    </row>
    <row r="40" spans="1:23" x14ac:dyDescent="0.2">
      <c r="A40" s="173" t="s">
        <v>487</v>
      </c>
    </row>
    <row r="41" spans="1:23" x14ac:dyDescent="0.2">
      <c r="A41" s="173" t="s">
        <v>488</v>
      </c>
    </row>
    <row r="43" spans="1:23" x14ac:dyDescent="0.2">
      <c r="A43" s="173" t="s">
        <v>1</v>
      </c>
      <c r="D43" s="173">
        <f>D40+D41</f>
        <v>0</v>
      </c>
      <c r="E43" s="173">
        <f t="shared" ref="E43:W43" si="8">E40+E41</f>
        <v>0</v>
      </c>
      <c r="F43" s="173">
        <f t="shared" si="8"/>
        <v>0</v>
      </c>
      <c r="G43" s="173">
        <f t="shared" si="8"/>
        <v>0</v>
      </c>
      <c r="H43" s="173">
        <f t="shared" si="8"/>
        <v>0</v>
      </c>
      <c r="I43" s="173">
        <f t="shared" si="8"/>
        <v>0</v>
      </c>
      <c r="J43" s="173">
        <f t="shared" si="8"/>
        <v>0</v>
      </c>
      <c r="K43" s="173">
        <f t="shared" si="8"/>
        <v>0</v>
      </c>
      <c r="L43" s="173">
        <f t="shared" si="8"/>
        <v>0</v>
      </c>
      <c r="M43" s="173">
        <f t="shared" si="8"/>
        <v>0</v>
      </c>
      <c r="N43" s="173">
        <f t="shared" si="8"/>
        <v>0</v>
      </c>
      <c r="O43" s="173">
        <f t="shared" si="8"/>
        <v>0</v>
      </c>
      <c r="P43" s="173">
        <f t="shared" si="8"/>
        <v>0</v>
      </c>
      <c r="Q43" s="173">
        <f t="shared" si="8"/>
        <v>0</v>
      </c>
      <c r="R43" s="173">
        <f t="shared" si="8"/>
        <v>0</v>
      </c>
      <c r="S43" s="173">
        <f t="shared" si="8"/>
        <v>0</v>
      </c>
      <c r="T43" s="173">
        <f t="shared" si="8"/>
        <v>0</v>
      </c>
      <c r="U43" s="173">
        <f t="shared" si="8"/>
        <v>0</v>
      </c>
      <c r="V43" s="173">
        <f t="shared" si="8"/>
        <v>0</v>
      </c>
      <c r="W43" s="173">
        <f t="shared" si="8"/>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992A-EF10-4400-9E09-6C0DAF9CF5C4}">
  <sheetPr>
    <tabColor rgb="FF00B0F0"/>
  </sheetPr>
  <dimension ref="A1:Y72"/>
  <sheetViews>
    <sheetView topLeftCell="D1" workbookViewId="0">
      <selection activeCell="O28" sqref="O28"/>
    </sheetView>
  </sheetViews>
  <sheetFormatPr defaultColWidth="7.109375" defaultRowHeight="12.75" x14ac:dyDescent="0.2"/>
  <cols>
    <col min="1" max="1" width="7.109375" style="210"/>
    <col min="2" max="2" width="35.109375" style="210" customWidth="1"/>
    <col min="3" max="3" width="19.109375" style="210" customWidth="1"/>
    <col min="4" max="4" width="9.77734375" style="210" customWidth="1"/>
    <col min="5" max="5" width="10.44140625" style="210" customWidth="1"/>
    <col min="6" max="14" width="8.109375" style="210" customWidth="1"/>
    <col min="15" max="15" width="9.77734375" style="210" customWidth="1"/>
    <col min="16" max="16" width="8.109375" style="210" customWidth="1"/>
    <col min="17" max="17" width="8.44140625" style="210" customWidth="1"/>
    <col min="18" max="18" width="7.77734375" style="210" customWidth="1"/>
    <col min="19" max="19" width="8.33203125" style="210" customWidth="1"/>
    <col min="20" max="20" width="9.109375" style="210" customWidth="1"/>
    <col min="21" max="22" width="9" style="210" customWidth="1"/>
    <col min="23" max="23" width="8.6640625" style="210" customWidth="1"/>
    <col min="24" max="24" width="8.77734375" style="210" customWidth="1"/>
    <col min="25" max="25" width="10.6640625" style="210" customWidth="1"/>
    <col min="26" max="16384" width="7.109375" style="210"/>
  </cols>
  <sheetData>
    <row r="1" spans="1:25" ht="16.5" thickBot="1" x14ac:dyDescent="0.3">
      <c r="B1" s="211" t="s">
        <v>211</v>
      </c>
      <c r="D1" s="210" t="s">
        <v>489</v>
      </c>
      <c r="F1" s="210" t="s">
        <v>490</v>
      </c>
      <c r="G1" s="212" t="s">
        <v>491</v>
      </c>
    </row>
    <row r="2" spans="1:25" ht="15.75" x14ac:dyDescent="0.25">
      <c r="B2" s="211" t="s">
        <v>492</v>
      </c>
    </row>
    <row r="3" spans="1:25" x14ac:dyDescent="0.2">
      <c r="B3" s="213"/>
      <c r="C3" s="213"/>
    </row>
    <row r="4" spans="1:25" x14ac:dyDescent="0.2">
      <c r="B4" s="213"/>
      <c r="C4" s="213"/>
    </row>
    <row r="5" spans="1:25" x14ac:dyDescent="0.2">
      <c r="B5" s="213"/>
      <c r="C5" s="213"/>
    </row>
    <row r="6" spans="1:25" x14ac:dyDescent="0.2">
      <c r="B6" s="214" t="s">
        <v>493</v>
      </c>
      <c r="C6" s="215" t="s">
        <v>494</v>
      </c>
      <c r="D6" s="215" t="s">
        <v>494</v>
      </c>
      <c r="E6" s="215" t="s">
        <v>494</v>
      </c>
      <c r="F6" s="215" t="s">
        <v>494</v>
      </c>
      <c r="G6" s="215" t="s">
        <v>494</v>
      </c>
      <c r="H6" s="215" t="s">
        <v>494</v>
      </c>
      <c r="I6" s="215" t="s">
        <v>494</v>
      </c>
      <c r="J6" s="215" t="s">
        <v>494</v>
      </c>
      <c r="K6" s="215" t="s">
        <v>494</v>
      </c>
      <c r="L6" s="215" t="s">
        <v>494</v>
      </c>
      <c r="M6" s="215" t="s">
        <v>494</v>
      </c>
      <c r="N6" s="215" t="s">
        <v>494</v>
      </c>
      <c r="O6" s="203" t="s">
        <v>495</v>
      </c>
      <c r="P6" s="203" t="s">
        <v>495</v>
      </c>
      <c r="Q6" s="203" t="s">
        <v>495</v>
      </c>
      <c r="R6" s="203" t="s">
        <v>495</v>
      </c>
      <c r="S6" s="203" t="s">
        <v>495</v>
      </c>
      <c r="T6" s="203" t="s">
        <v>495</v>
      </c>
      <c r="U6" s="203" t="s">
        <v>495</v>
      </c>
      <c r="V6" s="203" t="s">
        <v>495</v>
      </c>
      <c r="W6" s="203" t="s">
        <v>495</v>
      </c>
      <c r="X6" s="215" t="s">
        <v>1</v>
      </c>
      <c r="Y6" s="215" t="s">
        <v>496</v>
      </c>
    </row>
    <row r="7" spans="1:25" x14ac:dyDescent="0.2">
      <c r="B7" s="213" t="s">
        <v>493</v>
      </c>
      <c r="C7" s="215" t="s">
        <v>497</v>
      </c>
      <c r="D7" s="215" t="s">
        <v>497</v>
      </c>
      <c r="E7" s="215" t="s">
        <v>497</v>
      </c>
      <c r="F7" s="215" t="s">
        <v>497</v>
      </c>
      <c r="G7" s="215" t="s">
        <v>497</v>
      </c>
      <c r="H7" s="215" t="s">
        <v>497</v>
      </c>
      <c r="I7" s="215" t="s">
        <v>497</v>
      </c>
      <c r="J7" s="215" t="s">
        <v>497</v>
      </c>
      <c r="K7" s="215" t="s">
        <v>497</v>
      </c>
      <c r="L7" s="215" t="s">
        <v>497</v>
      </c>
      <c r="M7" s="215" t="s">
        <v>497</v>
      </c>
      <c r="N7" s="215" t="s">
        <v>497</v>
      </c>
      <c r="O7" s="203" t="s">
        <v>497</v>
      </c>
      <c r="P7" s="203" t="s">
        <v>497</v>
      </c>
      <c r="Q7" s="203" t="s">
        <v>497</v>
      </c>
      <c r="R7" s="203" t="s">
        <v>497</v>
      </c>
      <c r="S7" s="203" t="s">
        <v>497</v>
      </c>
      <c r="T7" s="203" t="s">
        <v>497</v>
      </c>
      <c r="U7" s="203" t="s">
        <v>497</v>
      </c>
      <c r="V7" s="203" t="s">
        <v>497</v>
      </c>
      <c r="W7" s="203" t="s">
        <v>497</v>
      </c>
      <c r="X7" s="215" t="s">
        <v>498</v>
      </c>
      <c r="Y7" s="215"/>
    </row>
    <row r="8" spans="1:25" x14ac:dyDescent="0.2">
      <c r="B8" s="213" t="s">
        <v>493</v>
      </c>
      <c r="C8" s="201" t="s">
        <v>445</v>
      </c>
      <c r="D8" s="201" t="s">
        <v>446</v>
      </c>
      <c r="E8" s="201" t="s">
        <v>447</v>
      </c>
      <c r="F8" s="201" t="s">
        <v>448</v>
      </c>
      <c r="G8" s="201" t="s">
        <v>449</v>
      </c>
      <c r="H8" s="201" t="s">
        <v>450</v>
      </c>
      <c r="I8" s="201" t="s">
        <v>451</v>
      </c>
      <c r="J8" s="201" t="s">
        <v>452</v>
      </c>
      <c r="K8" s="201" t="s">
        <v>453</v>
      </c>
      <c r="L8" s="201" t="s">
        <v>454</v>
      </c>
      <c r="M8" s="201" t="s">
        <v>455</v>
      </c>
      <c r="N8" s="201" t="s">
        <v>456</v>
      </c>
      <c r="O8" s="202" t="s">
        <v>457</v>
      </c>
      <c r="P8" s="202" t="s">
        <v>458</v>
      </c>
      <c r="Q8" s="202" t="s">
        <v>459</v>
      </c>
      <c r="R8" s="202" t="s">
        <v>460</v>
      </c>
      <c r="S8" s="202" t="s">
        <v>461</v>
      </c>
      <c r="T8" s="202" t="s">
        <v>462</v>
      </c>
      <c r="U8" s="202" t="s">
        <v>463</v>
      </c>
      <c r="V8" s="202" t="s">
        <v>464</v>
      </c>
      <c r="W8" s="202" t="s">
        <v>465</v>
      </c>
      <c r="X8" s="201"/>
      <c r="Y8" s="201"/>
    </row>
    <row r="9" spans="1:25" x14ac:dyDescent="0.2">
      <c r="B9" s="216" t="s">
        <v>493</v>
      </c>
      <c r="C9" s="217" t="s">
        <v>493</v>
      </c>
      <c r="D9" s="217" t="s">
        <v>493</v>
      </c>
      <c r="E9" s="217" t="s">
        <v>493</v>
      </c>
      <c r="F9" s="217" t="s">
        <v>493</v>
      </c>
      <c r="G9" s="217" t="s">
        <v>493</v>
      </c>
      <c r="H9" s="217" t="s">
        <v>493</v>
      </c>
      <c r="I9" s="217" t="s">
        <v>493</v>
      </c>
      <c r="J9" s="217" t="s">
        <v>493</v>
      </c>
      <c r="K9" s="217" t="s">
        <v>493</v>
      </c>
      <c r="L9" s="217" t="s">
        <v>493</v>
      </c>
      <c r="M9" s="217" t="s">
        <v>493</v>
      </c>
      <c r="N9" s="217" t="s">
        <v>493</v>
      </c>
    </row>
    <row r="10" spans="1:25" x14ac:dyDescent="0.2">
      <c r="B10" s="218" t="s">
        <v>499</v>
      </c>
      <c r="C10" s="218" t="s">
        <v>500</v>
      </c>
      <c r="D10" s="218" t="s">
        <v>500</v>
      </c>
      <c r="E10" s="218" t="s">
        <v>500</v>
      </c>
      <c r="F10" s="218" t="s">
        <v>500</v>
      </c>
      <c r="G10" s="218" t="s">
        <v>500</v>
      </c>
      <c r="H10" s="218" t="s">
        <v>500</v>
      </c>
      <c r="I10" s="218" t="s">
        <v>500</v>
      </c>
      <c r="J10" s="218" t="s">
        <v>500</v>
      </c>
      <c r="K10" s="218" t="s">
        <v>500</v>
      </c>
      <c r="L10" s="218" t="s">
        <v>500</v>
      </c>
      <c r="M10" s="218" t="s">
        <v>500</v>
      </c>
      <c r="N10" s="218" t="s">
        <v>500</v>
      </c>
    </row>
    <row r="11" spans="1:25" x14ac:dyDescent="0.2">
      <c r="B11" s="213" t="s">
        <v>501</v>
      </c>
      <c r="C11" s="213" t="s">
        <v>502</v>
      </c>
      <c r="D11" s="213" t="s">
        <v>502</v>
      </c>
      <c r="E11" s="213" t="s">
        <v>502</v>
      </c>
      <c r="F11" s="213" t="s">
        <v>502</v>
      </c>
      <c r="G11" s="213" t="s">
        <v>502</v>
      </c>
      <c r="H11" s="213" t="s">
        <v>502</v>
      </c>
      <c r="I11" s="213" t="s">
        <v>502</v>
      </c>
      <c r="J11" s="213" t="s">
        <v>502</v>
      </c>
      <c r="K11" s="213" t="s">
        <v>502</v>
      </c>
      <c r="L11" s="213" t="s">
        <v>502</v>
      </c>
      <c r="M11" s="213" t="s">
        <v>502</v>
      </c>
      <c r="N11" s="213" t="s">
        <v>502</v>
      </c>
    </row>
    <row r="12" spans="1:25" x14ac:dyDescent="0.2">
      <c r="B12" s="213" t="s">
        <v>503</v>
      </c>
      <c r="C12" s="213" t="s">
        <v>504</v>
      </c>
      <c r="D12" s="213" t="s">
        <v>504</v>
      </c>
      <c r="E12" s="213" t="s">
        <v>504</v>
      </c>
      <c r="F12" s="213" t="s">
        <v>504</v>
      </c>
      <c r="G12" s="213" t="s">
        <v>504</v>
      </c>
      <c r="H12" s="213" t="s">
        <v>504</v>
      </c>
      <c r="I12" s="213" t="s">
        <v>504</v>
      </c>
      <c r="J12" s="213" t="s">
        <v>504</v>
      </c>
      <c r="K12" s="213" t="s">
        <v>504</v>
      </c>
      <c r="L12" s="213" t="s">
        <v>504</v>
      </c>
      <c r="M12" s="213" t="s">
        <v>504</v>
      </c>
      <c r="N12" s="213" t="s">
        <v>504</v>
      </c>
    </row>
    <row r="13" spans="1:25" x14ac:dyDescent="0.2">
      <c r="B13" s="213" t="s">
        <v>505</v>
      </c>
      <c r="C13" s="213" t="s">
        <v>506</v>
      </c>
      <c r="D13" s="213" t="s">
        <v>506</v>
      </c>
      <c r="E13" s="213" t="s">
        <v>506</v>
      </c>
      <c r="F13" s="213" t="s">
        <v>506</v>
      </c>
      <c r="G13" s="213" t="s">
        <v>506</v>
      </c>
      <c r="H13" s="213" t="s">
        <v>506</v>
      </c>
      <c r="I13" s="213" t="s">
        <v>506</v>
      </c>
      <c r="J13" s="213" t="s">
        <v>506</v>
      </c>
      <c r="K13" s="213" t="s">
        <v>506</v>
      </c>
      <c r="L13" s="213" t="s">
        <v>506</v>
      </c>
      <c r="M13" s="213" t="s">
        <v>506</v>
      </c>
      <c r="N13" s="213" t="s">
        <v>506</v>
      </c>
    </row>
    <row r="14" spans="1:25" x14ac:dyDescent="0.2">
      <c r="A14" s="210">
        <v>300</v>
      </c>
      <c r="B14" s="213" t="s">
        <v>507</v>
      </c>
      <c r="C14" s="219">
        <v>0</v>
      </c>
      <c r="D14" s="219">
        <v>600</v>
      </c>
      <c r="E14" s="219">
        <v>0</v>
      </c>
      <c r="F14" s="219">
        <v>0</v>
      </c>
      <c r="G14" s="219">
        <v>0</v>
      </c>
      <c r="H14" s="219">
        <v>0</v>
      </c>
      <c r="I14" s="219">
        <v>0</v>
      </c>
      <c r="J14" s="219">
        <v>0</v>
      </c>
      <c r="K14" s="219">
        <v>0</v>
      </c>
      <c r="L14" s="219">
        <v>0</v>
      </c>
      <c r="M14" s="219">
        <v>0</v>
      </c>
      <c r="N14" s="219">
        <v>0</v>
      </c>
      <c r="O14" s="219" t="e">
        <v>#VALUE!</v>
      </c>
      <c r="P14" s="219" t="e">
        <v>#VALUE!</v>
      </c>
      <c r="Q14" s="219" t="e">
        <v>#VALUE!</v>
      </c>
      <c r="R14" s="219" t="e">
        <v>#VALUE!</v>
      </c>
      <c r="S14" s="219" t="e">
        <v>#VALUE!</v>
      </c>
      <c r="T14" s="219" t="e">
        <v>#VALUE!</v>
      </c>
      <c r="U14" s="219" t="e">
        <v>#VALUE!</v>
      </c>
      <c r="V14" s="219" t="e">
        <v>#VALUE!</v>
      </c>
      <c r="W14" s="219" t="e">
        <v>#VALUE!</v>
      </c>
      <c r="X14" s="220" t="e">
        <f>SUM(C14:W14)</f>
        <v>#VALUE!</v>
      </c>
      <c r="Y14" s="220" t="e">
        <f>SUM(L14:W14)</f>
        <v>#VALUE!</v>
      </c>
    </row>
    <row r="15" spans="1:25" x14ac:dyDescent="0.2">
      <c r="B15" s="213" t="s">
        <v>508</v>
      </c>
      <c r="C15" s="221">
        <v>0</v>
      </c>
      <c r="D15" s="221">
        <v>600</v>
      </c>
      <c r="E15" s="221">
        <v>0</v>
      </c>
      <c r="F15" s="221">
        <v>0</v>
      </c>
      <c r="G15" s="221">
        <v>0</v>
      </c>
      <c r="H15" s="221">
        <v>0</v>
      </c>
      <c r="I15" s="221">
        <v>0</v>
      </c>
      <c r="J15" s="221">
        <v>0</v>
      </c>
      <c r="K15" s="221">
        <v>0</v>
      </c>
      <c r="L15" s="221">
        <v>0</v>
      </c>
      <c r="M15" s="221">
        <v>0</v>
      </c>
      <c r="N15" s="221">
        <v>0</v>
      </c>
      <c r="O15" s="221" t="e">
        <f>O14</f>
        <v>#VALUE!</v>
      </c>
      <c r="P15" s="221" t="e">
        <f t="shared" ref="P15:W15" si="0">P14</f>
        <v>#VALUE!</v>
      </c>
      <c r="Q15" s="221" t="e">
        <f t="shared" si="0"/>
        <v>#VALUE!</v>
      </c>
      <c r="R15" s="221" t="e">
        <f t="shared" si="0"/>
        <v>#VALUE!</v>
      </c>
      <c r="S15" s="221" t="e">
        <f t="shared" si="0"/>
        <v>#VALUE!</v>
      </c>
      <c r="T15" s="221" t="e">
        <f t="shared" si="0"/>
        <v>#VALUE!</v>
      </c>
      <c r="U15" s="221" t="e">
        <f t="shared" si="0"/>
        <v>#VALUE!</v>
      </c>
      <c r="V15" s="221" t="e">
        <f t="shared" si="0"/>
        <v>#VALUE!</v>
      </c>
      <c r="W15" s="221" t="e">
        <f t="shared" si="0"/>
        <v>#VALUE!</v>
      </c>
      <c r="X15" s="222" t="e">
        <f t="shared" ref="X15:X52" si="1">SUM(C15:W15)</f>
        <v>#VALUE!</v>
      </c>
      <c r="Y15" s="222" t="e">
        <f t="shared" ref="Y15:Y52" si="2">SUM(L15:W15)</f>
        <v>#VALUE!</v>
      </c>
    </row>
    <row r="16" spans="1:25" x14ac:dyDescent="0.2">
      <c r="B16" s="213" t="s">
        <v>509</v>
      </c>
      <c r="C16" s="213" t="s">
        <v>506</v>
      </c>
      <c r="D16" s="213" t="s">
        <v>506</v>
      </c>
      <c r="E16" s="213" t="s">
        <v>506</v>
      </c>
      <c r="F16" s="213" t="s">
        <v>506</v>
      </c>
      <c r="G16" s="213" t="s">
        <v>506</v>
      </c>
      <c r="H16" s="213" t="s">
        <v>506</v>
      </c>
      <c r="I16" s="213" t="s">
        <v>506</v>
      </c>
      <c r="J16" s="213" t="s">
        <v>506</v>
      </c>
      <c r="K16" s="213" t="s">
        <v>506</v>
      </c>
      <c r="L16" s="213" t="s">
        <v>506</v>
      </c>
      <c r="M16" s="213" t="s">
        <v>506</v>
      </c>
      <c r="N16" s="213" t="s">
        <v>506</v>
      </c>
      <c r="O16" s="213"/>
      <c r="P16" s="213"/>
      <c r="Q16" s="213"/>
      <c r="R16" s="213"/>
      <c r="S16" s="213"/>
      <c r="T16" s="213"/>
      <c r="U16" s="213"/>
      <c r="V16" s="213"/>
      <c r="W16" s="213"/>
      <c r="X16" s="218"/>
      <c r="Y16" s="218"/>
    </row>
    <row r="17" spans="1:25" x14ac:dyDescent="0.2">
      <c r="A17" s="210">
        <v>400</v>
      </c>
      <c r="B17" s="213" t="s">
        <v>510</v>
      </c>
      <c r="C17" s="219">
        <v>0</v>
      </c>
      <c r="D17" s="219">
        <v>1400</v>
      </c>
      <c r="E17" s="219">
        <v>0</v>
      </c>
      <c r="F17" s="219">
        <v>0</v>
      </c>
      <c r="G17" s="219">
        <v>0</v>
      </c>
      <c r="H17" s="219">
        <v>0</v>
      </c>
      <c r="I17" s="219">
        <v>0</v>
      </c>
      <c r="J17" s="219">
        <v>0</v>
      </c>
      <c r="K17" s="219">
        <v>0</v>
      </c>
      <c r="L17" s="219">
        <v>0</v>
      </c>
      <c r="M17" s="219">
        <v>0</v>
      </c>
      <c r="N17" s="219">
        <v>0</v>
      </c>
      <c r="O17" s="219" t="e">
        <v>#VALUE!</v>
      </c>
      <c r="P17" s="219" t="e">
        <v>#VALUE!</v>
      </c>
      <c r="Q17" s="219" t="e">
        <v>#VALUE!</v>
      </c>
      <c r="R17" s="219" t="e">
        <v>#VALUE!</v>
      </c>
      <c r="S17" s="219" t="e">
        <v>#VALUE!</v>
      </c>
      <c r="T17" s="219" t="e">
        <v>#VALUE!</v>
      </c>
      <c r="U17" s="219" t="e">
        <v>#VALUE!</v>
      </c>
      <c r="V17" s="219" t="e">
        <v>#VALUE!</v>
      </c>
      <c r="W17" s="219" t="e">
        <v>#VALUE!</v>
      </c>
      <c r="X17" s="220" t="e">
        <f t="shared" si="1"/>
        <v>#VALUE!</v>
      </c>
      <c r="Y17" s="220" t="e">
        <f t="shared" si="2"/>
        <v>#VALUE!</v>
      </c>
    </row>
    <row r="18" spans="1:25" x14ac:dyDescent="0.2">
      <c r="A18" s="210">
        <v>100</v>
      </c>
      <c r="B18" s="213" t="s">
        <v>511</v>
      </c>
      <c r="C18" s="219">
        <v>95</v>
      </c>
      <c r="D18" s="219">
        <v>258.54000000000002</v>
      </c>
      <c r="E18" s="219">
        <v>95</v>
      </c>
      <c r="F18" s="219">
        <v>95</v>
      </c>
      <c r="G18" s="219">
        <v>95</v>
      </c>
      <c r="H18" s="219">
        <v>95</v>
      </c>
      <c r="I18" s="219">
        <v>95</v>
      </c>
      <c r="J18" s="219">
        <v>95</v>
      </c>
      <c r="K18" s="219">
        <v>95</v>
      </c>
      <c r="L18" s="219">
        <v>95</v>
      </c>
      <c r="M18" s="219">
        <v>190</v>
      </c>
      <c r="N18" s="219">
        <v>0</v>
      </c>
      <c r="O18" s="219" t="e">
        <v>#VALUE!</v>
      </c>
      <c r="P18" s="219" t="e">
        <v>#VALUE!</v>
      </c>
      <c r="Q18" s="219" t="e">
        <v>#VALUE!</v>
      </c>
      <c r="R18" s="219" t="e">
        <v>#VALUE!</v>
      </c>
      <c r="S18" s="219" t="e">
        <v>#VALUE!</v>
      </c>
      <c r="T18" s="219" t="e">
        <v>#VALUE!</v>
      </c>
      <c r="U18" s="219" t="e">
        <v>#VALUE!</v>
      </c>
      <c r="V18" s="219" t="e">
        <v>#VALUE!</v>
      </c>
      <c r="W18" s="219" t="e">
        <v>#VALUE!</v>
      </c>
      <c r="X18" s="220" t="e">
        <f t="shared" si="1"/>
        <v>#VALUE!</v>
      </c>
      <c r="Y18" s="220" t="e">
        <f t="shared" si="2"/>
        <v>#VALUE!</v>
      </c>
    </row>
    <row r="19" spans="1:25" x14ac:dyDescent="0.2">
      <c r="A19" s="210">
        <v>200</v>
      </c>
      <c r="B19" s="213" t="s">
        <v>512</v>
      </c>
      <c r="C19" s="219">
        <v>15000</v>
      </c>
      <c r="D19" s="219">
        <v>11500</v>
      </c>
      <c r="E19" s="219">
        <v>3203.98</v>
      </c>
      <c r="F19" s="219">
        <v>21442.14</v>
      </c>
      <c r="G19" s="219">
        <v>39114.03</v>
      </c>
      <c r="H19" s="219">
        <v>1810.18</v>
      </c>
      <c r="I19" s="219">
        <v>11617.07</v>
      </c>
      <c r="J19" s="219">
        <v>34729.24</v>
      </c>
      <c r="K19" s="219">
        <v>41710.9</v>
      </c>
      <c r="L19" s="219">
        <v>20928.91</v>
      </c>
      <c r="M19" s="219">
        <v>14583.33</v>
      </c>
      <c r="N19" s="219">
        <v>75077</v>
      </c>
      <c r="O19" s="219" t="e">
        <v>#VALUE!</v>
      </c>
      <c r="P19" s="219" t="e">
        <v>#VALUE!</v>
      </c>
      <c r="Q19" s="219" t="e">
        <v>#VALUE!</v>
      </c>
      <c r="R19" s="219" t="e">
        <v>#VALUE!</v>
      </c>
      <c r="S19" s="219" t="e">
        <v>#VALUE!</v>
      </c>
      <c r="T19" s="219" t="e">
        <v>#VALUE!</v>
      </c>
      <c r="U19" s="219" t="e">
        <v>#VALUE!</v>
      </c>
      <c r="V19" s="219" t="e">
        <v>#VALUE!</v>
      </c>
      <c r="W19" s="219" t="e">
        <v>#VALUE!</v>
      </c>
      <c r="X19" s="220" t="e">
        <f t="shared" si="1"/>
        <v>#VALUE!</v>
      </c>
      <c r="Y19" s="220" t="e">
        <f t="shared" si="2"/>
        <v>#VALUE!</v>
      </c>
    </row>
    <row r="20" spans="1:25" x14ac:dyDescent="0.2">
      <c r="B20" s="213" t="s">
        <v>513</v>
      </c>
      <c r="C20" s="221">
        <v>15095</v>
      </c>
      <c r="D20" s="221">
        <v>13158.54</v>
      </c>
      <c r="E20" s="221">
        <v>3298.98</v>
      </c>
      <c r="F20" s="221">
        <v>21537.14</v>
      </c>
      <c r="G20" s="221">
        <v>39209.03</v>
      </c>
      <c r="H20" s="221">
        <v>1905.18</v>
      </c>
      <c r="I20" s="221">
        <v>11712.07</v>
      </c>
      <c r="J20" s="221">
        <v>34824.239999999998</v>
      </c>
      <c r="K20" s="221">
        <v>41805.9</v>
      </c>
      <c r="L20" s="221">
        <v>21023.91</v>
      </c>
      <c r="M20" s="221">
        <v>14773.33</v>
      </c>
      <c r="N20" s="221">
        <v>75077</v>
      </c>
      <c r="O20" s="221" t="e">
        <f>SUM(O17:O19)</f>
        <v>#VALUE!</v>
      </c>
      <c r="P20" s="221" t="e">
        <f t="shared" ref="P20:W20" si="3">SUM(P17:P19)</f>
        <v>#VALUE!</v>
      </c>
      <c r="Q20" s="221" t="e">
        <f t="shared" si="3"/>
        <v>#VALUE!</v>
      </c>
      <c r="R20" s="221" t="e">
        <f t="shared" si="3"/>
        <v>#VALUE!</v>
      </c>
      <c r="S20" s="221" t="e">
        <f t="shared" si="3"/>
        <v>#VALUE!</v>
      </c>
      <c r="T20" s="221" t="e">
        <f t="shared" si="3"/>
        <v>#VALUE!</v>
      </c>
      <c r="U20" s="221" t="e">
        <f t="shared" si="3"/>
        <v>#VALUE!</v>
      </c>
      <c r="V20" s="221" t="e">
        <f t="shared" si="3"/>
        <v>#VALUE!</v>
      </c>
      <c r="W20" s="221" t="e">
        <f t="shared" si="3"/>
        <v>#VALUE!</v>
      </c>
      <c r="X20" s="222" t="e">
        <f t="shared" si="1"/>
        <v>#VALUE!</v>
      </c>
      <c r="Y20" s="222" t="e">
        <f t="shared" si="2"/>
        <v>#VALUE!</v>
      </c>
    </row>
    <row r="21" spans="1:25" x14ac:dyDescent="0.2">
      <c r="B21" s="213" t="s">
        <v>514</v>
      </c>
      <c r="C21" s="221">
        <v>15095</v>
      </c>
      <c r="D21" s="221">
        <v>13758.54</v>
      </c>
      <c r="E21" s="221">
        <v>3298.98</v>
      </c>
      <c r="F21" s="221">
        <v>21537.14</v>
      </c>
      <c r="G21" s="221">
        <v>39209.03</v>
      </c>
      <c r="H21" s="221">
        <v>1905.18</v>
      </c>
      <c r="I21" s="221">
        <v>11712.07</v>
      </c>
      <c r="J21" s="221">
        <v>34824.239999999998</v>
      </c>
      <c r="K21" s="221">
        <v>41805.9</v>
      </c>
      <c r="L21" s="221">
        <v>21023.91</v>
      </c>
      <c r="M21" s="221">
        <v>14773.33</v>
      </c>
      <c r="N21" s="221">
        <v>75077</v>
      </c>
      <c r="O21" s="221" t="e">
        <f>O15+O20</f>
        <v>#VALUE!</v>
      </c>
      <c r="P21" s="221" t="e">
        <f t="shared" ref="P21:W21" si="4">P15+P20</f>
        <v>#VALUE!</v>
      </c>
      <c r="Q21" s="221" t="e">
        <f t="shared" si="4"/>
        <v>#VALUE!</v>
      </c>
      <c r="R21" s="221" t="e">
        <f t="shared" si="4"/>
        <v>#VALUE!</v>
      </c>
      <c r="S21" s="221" t="e">
        <f t="shared" si="4"/>
        <v>#VALUE!</v>
      </c>
      <c r="T21" s="221" t="e">
        <f t="shared" si="4"/>
        <v>#VALUE!</v>
      </c>
      <c r="U21" s="221" t="e">
        <f t="shared" si="4"/>
        <v>#VALUE!</v>
      </c>
      <c r="V21" s="221" t="e">
        <f t="shared" si="4"/>
        <v>#VALUE!</v>
      </c>
      <c r="W21" s="221" t="e">
        <f t="shared" si="4"/>
        <v>#VALUE!</v>
      </c>
      <c r="X21" s="222" t="e">
        <f t="shared" si="1"/>
        <v>#VALUE!</v>
      </c>
      <c r="Y21" s="222" t="e">
        <f t="shared" si="2"/>
        <v>#VALUE!</v>
      </c>
    </row>
    <row r="22" spans="1:25" x14ac:dyDescent="0.2">
      <c r="B22" s="213" t="s">
        <v>515</v>
      </c>
      <c r="C22" s="213" t="s">
        <v>504</v>
      </c>
      <c r="D22" s="213" t="s">
        <v>504</v>
      </c>
      <c r="E22" s="213" t="s">
        <v>504</v>
      </c>
      <c r="F22" s="213" t="s">
        <v>504</v>
      </c>
      <c r="G22" s="213" t="s">
        <v>504</v>
      </c>
      <c r="H22" s="213" t="s">
        <v>504</v>
      </c>
      <c r="I22" s="213" t="s">
        <v>504</v>
      </c>
      <c r="J22" s="213" t="s">
        <v>504</v>
      </c>
      <c r="K22" s="213" t="s">
        <v>504</v>
      </c>
      <c r="L22" s="213" t="s">
        <v>504</v>
      </c>
      <c r="M22" s="213" t="s">
        <v>504</v>
      </c>
      <c r="N22" s="213" t="s">
        <v>504</v>
      </c>
      <c r="O22" s="213"/>
      <c r="P22" s="213"/>
      <c r="Q22" s="213"/>
      <c r="R22" s="213"/>
      <c r="S22" s="213"/>
      <c r="T22" s="213"/>
      <c r="U22" s="213"/>
      <c r="V22" s="213"/>
      <c r="W22" s="213"/>
      <c r="X22" s="218"/>
      <c r="Y22" s="218"/>
    </row>
    <row r="23" spans="1:25" x14ac:dyDescent="0.2">
      <c r="B23" s="213" t="s">
        <v>516</v>
      </c>
      <c r="C23" s="213" t="s">
        <v>506</v>
      </c>
      <c r="D23" s="213" t="s">
        <v>506</v>
      </c>
      <c r="E23" s="213" t="s">
        <v>506</v>
      </c>
      <c r="F23" s="213" t="s">
        <v>506</v>
      </c>
      <c r="G23" s="213" t="s">
        <v>506</v>
      </c>
      <c r="H23" s="213" t="s">
        <v>506</v>
      </c>
      <c r="I23" s="213" t="s">
        <v>506</v>
      </c>
      <c r="J23" s="213" t="s">
        <v>506</v>
      </c>
      <c r="K23" s="213" t="s">
        <v>506</v>
      </c>
      <c r="L23" s="213" t="s">
        <v>506</v>
      </c>
      <c r="M23" s="213" t="s">
        <v>506</v>
      </c>
      <c r="N23" s="213" t="s">
        <v>506</v>
      </c>
      <c r="O23" s="213"/>
      <c r="P23" s="213"/>
      <c r="Q23" s="213"/>
      <c r="R23" s="213"/>
      <c r="S23" s="213"/>
      <c r="T23" s="213"/>
      <c r="U23" s="213"/>
      <c r="V23" s="213"/>
      <c r="W23" s="213"/>
      <c r="X23" s="218"/>
      <c r="Y23" s="218"/>
    </row>
    <row r="24" spans="1:25" x14ac:dyDescent="0.2">
      <c r="A24" s="210">
        <v>1000</v>
      </c>
      <c r="B24" s="213" t="s">
        <v>517</v>
      </c>
      <c r="C24" s="219">
        <v>0</v>
      </c>
      <c r="D24" s="219">
        <v>0</v>
      </c>
      <c r="E24" s="219">
        <v>0</v>
      </c>
      <c r="F24" s="219">
        <v>0</v>
      </c>
      <c r="G24" s="219">
        <v>90</v>
      </c>
      <c r="H24" s="219">
        <v>80</v>
      </c>
      <c r="I24" s="219">
        <v>30</v>
      </c>
      <c r="J24" s="219">
        <v>10</v>
      </c>
      <c r="K24" s="219">
        <v>0</v>
      </c>
      <c r="L24" s="219">
        <v>0</v>
      </c>
      <c r="M24" s="219">
        <v>30</v>
      </c>
      <c r="N24" s="219">
        <v>10</v>
      </c>
      <c r="O24" s="219" t="e">
        <v>#VALUE!</v>
      </c>
      <c r="P24" s="219" t="e">
        <v>#VALUE!</v>
      </c>
      <c r="Q24" s="219" t="e">
        <v>#VALUE!</v>
      </c>
      <c r="R24" s="219" t="e">
        <v>#VALUE!</v>
      </c>
      <c r="S24" s="219" t="e">
        <v>#VALUE!</v>
      </c>
      <c r="T24" s="219" t="e">
        <v>#VALUE!</v>
      </c>
      <c r="U24" s="219" t="e">
        <v>#VALUE!</v>
      </c>
      <c r="V24" s="219" t="e">
        <v>#VALUE!</v>
      </c>
      <c r="W24" s="219" t="e">
        <v>#VALUE!</v>
      </c>
      <c r="X24" s="220" t="e">
        <f t="shared" si="1"/>
        <v>#VALUE!</v>
      </c>
      <c r="Y24" s="220" t="e">
        <f t="shared" si="2"/>
        <v>#VALUE!</v>
      </c>
    </row>
    <row r="25" spans="1:25" x14ac:dyDescent="0.2">
      <c r="B25" s="213" t="s">
        <v>518</v>
      </c>
      <c r="C25" s="219">
        <v>0</v>
      </c>
      <c r="D25" s="219">
        <v>300</v>
      </c>
      <c r="E25" s="219">
        <v>0</v>
      </c>
      <c r="F25" s="219">
        <v>0</v>
      </c>
      <c r="G25" s="219">
        <v>0</v>
      </c>
      <c r="H25" s="219">
        <v>0</v>
      </c>
      <c r="I25" s="219">
        <v>0</v>
      </c>
      <c r="J25" s="219">
        <v>0</v>
      </c>
      <c r="K25" s="219">
        <v>0</v>
      </c>
      <c r="L25" s="219">
        <v>0</v>
      </c>
      <c r="M25" s="219">
        <v>225</v>
      </c>
      <c r="N25" s="219">
        <v>0</v>
      </c>
      <c r="O25" s="219" t="e">
        <v>#VALUE!</v>
      </c>
      <c r="P25" s="219" t="e">
        <v>#VALUE!</v>
      </c>
      <c r="Q25" s="219" t="e">
        <v>#VALUE!</v>
      </c>
      <c r="R25" s="219" t="e">
        <v>#VALUE!</v>
      </c>
      <c r="S25" s="219" t="e">
        <v>#VALUE!</v>
      </c>
      <c r="T25" s="219" t="e">
        <v>#VALUE!</v>
      </c>
      <c r="U25" s="219" t="e">
        <v>#VALUE!</v>
      </c>
      <c r="V25" s="219" t="e">
        <v>#VALUE!</v>
      </c>
      <c r="W25" s="219" t="e">
        <v>#VALUE!</v>
      </c>
      <c r="X25" s="220" t="e">
        <f t="shared" si="1"/>
        <v>#VALUE!</v>
      </c>
      <c r="Y25" s="220" t="e">
        <f t="shared" si="2"/>
        <v>#VALUE!</v>
      </c>
    </row>
    <row r="26" spans="1:25" x14ac:dyDescent="0.2">
      <c r="B26" s="213" t="s">
        <v>519</v>
      </c>
      <c r="C26" s="221">
        <v>0</v>
      </c>
      <c r="D26" s="221">
        <v>300</v>
      </c>
      <c r="E26" s="221">
        <v>0</v>
      </c>
      <c r="F26" s="221">
        <v>0</v>
      </c>
      <c r="G26" s="221">
        <v>90</v>
      </c>
      <c r="H26" s="221">
        <v>80</v>
      </c>
      <c r="I26" s="221">
        <v>30</v>
      </c>
      <c r="J26" s="221">
        <v>10</v>
      </c>
      <c r="K26" s="221">
        <v>0</v>
      </c>
      <c r="L26" s="221">
        <v>0</v>
      </c>
      <c r="M26" s="221">
        <v>255</v>
      </c>
      <c r="N26" s="221">
        <v>10</v>
      </c>
      <c r="O26" s="221" t="e">
        <f>SUM(O24:O25)</f>
        <v>#VALUE!</v>
      </c>
      <c r="P26" s="221" t="e">
        <f t="shared" ref="P26:W26" si="5">SUM(P24:P25)</f>
        <v>#VALUE!</v>
      </c>
      <c r="Q26" s="221" t="e">
        <f t="shared" si="5"/>
        <v>#VALUE!</v>
      </c>
      <c r="R26" s="221" t="e">
        <f t="shared" si="5"/>
        <v>#VALUE!</v>
      </c>
      <c r="S26" s="221" t="e">
        <f t="shared" si="5"/>
        <v>#VALUE!</v>
      </c>
      <c r="T26" s="221" t="e">
        <f t="shared" si="5"/>
        <v>#VALUE!</v>
      </c>
      <c r="U26" s="221" t="e">
        <f t="shared" si="5"/>
        <v>#VALUE!</v>
      </c>
      <c r="V26" s="221" t="e">
        <f t="shared" si="5"/>
        <v>#VALUE!</v>
      </c>
      <c r="W26" s="221" t="e">
        <f t="shared" si="5"/>
        <v>#VALUE!</v>
      </c>
      <c r="X26" s="222" t="e">
        <f t="shared" si="1"/>
        <v>#VALUE!</v>
      </c>
      <c r="Y26" s="222" t="e">
        <f t="shared" si="2"/>
        <v>#VALUE!</v>
      </c>
    </row>
    <row r="27" spans="1:25" x14ac:dyDescent="0.2">
      <c r="B27" s="213" t="s">
        <v>520</v>
      </c>
      <c r="C27" s="221">
        <v>0</v>
      </c>
      <c r="D27" s="221">
        <v>300</v>
      </c>
      <c r="E27" s="221">
        <v>0</v>
      </c>
      <c r="F27" s="221">
        <v>0</v>
      </c>
      <c r="G27" s="221">
        <v>90</v>
      </c>
      <c r="H27" s="221">
        <v>80</v>
      </c>
      <c r="I27" s="221">
        <v>30</v>
      </c>
      <c r="J27" s="221">
        <v>10</v>
      </c>
      <c r="K27" s="221">
        <v>0</v>
      </c>
      <c r="L27" s="221">
        <v>0</v>
      </c>
      <c r="M27" s="221">
        <v>255</v>
      </c>
      <c r="N27" s="221">
        <v>10</v>
      </c>
      <c r="O27" s="221" t="e">
        <f>O26</f>
        <v>#VALUE!</v>
      </c>
      <c r="P27" s="221" t="e">
        <f t="shared" ref="P27:W27" si="6">P26</f>
        <v>#VALUE!</v>
      </c>
      <c r="Q27" s="221" t="e">
        <f t="shared" si="6"/>
        <v>#VALUE!</v>
      </c>
      <c r="R27" s="221" t="e">
        <f t="shared" si="6"/>
        <v>#VALUE!</v>
      </c>
      <c r="S27" s="221" t="e">
        <f t="shared" si="6"/>
        <v>#VALUE!</v>
      </c>
      <c r="T27" s="221" t="e">
        <f t="shared" si="6"/>
        <v>#VALUE!</v>
      </c>
      <c r="U27" s="221" t="e">
        <f t="shared" si="6"/>
        <v>#VALUE!</v>
      </c>
      <c r="V27" s="221" t="e">
        <f t="shared" si="6"/>
        <v>#VALUE!</v>
      </c>
      <c r="W27" s="221" t="e">
        <f t="shared" si="6"/>
        <v>#VALUE!</v>
      </c>
      <c r="X27" s="222" t="e">
        <f t="shared" si="1"/>
        <v>#VALUE!</v>
      </c>
      <c r="Y27" s="222" t="e">
        <f t="shared" si="2"/>
        <v>#VALUE!</v>
      </c>
    </row>
    <row r="28" spans="1:25" x14ac:dyDescent="0.2">
      <c r="B28" s="213" t="s">
        <v>521</v>
      </c>
      <c r="C28" s="213" t="s">
        <v>504</v>
      </c>
      <c r="D28" s="213" t="s">
        <v>504</v>
      </c>
      <c r="E28" s="213" t="s">
        <v>504</v>
      </c>
      <c r="F28" s="213" t="s">
        <v>504</v>
      </c>
      <c r="G28" s="213" t="s">
        <v>504</v>
      </c>
      <c r="H28" s="213" t="s">
        <v>504</v>
      </c>
      <c r="I28" s="213" t="s">
        <v>504</v>
      </c>
      <c r="J28" s="213" t="s">
        <v>504</v>
      </c>
      <c r="K28" s="213" t="s">
        <v>504</v>
      </c>
      <c r="L28" s="213" t="s">
        <v>504</v>
      </c>
      <c r="M28" s="213" t="s">
        <v>504</v>
      </c>
      <c r="N28" s="213" t="s">
        <v>504</v>
      </c>
      <c r="O28" s="213"/>
      <c r="P28" s="213"/>
      <c r="Q28" s="213"/>
      <c r="R28" s="213"/>
      <c r="S28" s="213"/>
      <c r="T28" s="213"/>
      <c r="U28" s="213"/>
      <c r="V28" s="213"/>
      <c r="W28" s="213"/>
      <c r="X28" s="218"/>
      <c r="Y28" s="218"/>
    </row>
    <row r="29" spans="1:25" x14ac:dyDescent="0.2">
      <c r="B29" s="213" t="s">
        <v>522</v>
      </c>
      <c r="C29" s="213" t="s">
        <v>506</v>
      </c>
      <c r="D29" s="213" t="s">
        <v>506</v>
      </c>
      <c r="E29" s="213" t="s">
        <v>506</v>
      </c>
      <c r="F29" s="213" t="s">
        <v>506</v>
      </c>
      <c r="G29" s="213" t="s">
        <v>506</v>
      </c>
      <c r="H29" s="213" t="s">
        <v>506</v>
      </c>
      <c r="I29" s="213" t="s">
        <v>506</v>
      </c>
      <c r="J29" s="213" t="s">
        <v>506</v>
      </c>
      <c r="K29" s="213" t="s">
        <v>506</v>
      </c>
      <c r="L29" s="213" t="s">
        <v>506</v>
      </c>
      <c r="M29" s="213" t="s">
        <v>506</v>
      </c>
      <c r="N29" s="213" t="s">
        <v>506</v>
      </c>
      <c r="O29" s="213"/>
      <c r="P29" s="213"/>
      <c r="Q29" s="213"/>
      <c r="R29" s="213"/>
      <c r="S29" s="213"/>
      <c r="T29" s="213"/>
      <c r="U29" s="213"/>
      <c r="V29" s="213"/>
      <c r="W29" s="213"/>
      <c r="X29" s="218"/>
      <c r="Y29" s="218"/>
    </row>
    <row r="30" spans="1:25" x14ac:dyDescent="0.2">
      <c r="A30" s="210">
        <v>500</v>
      </c>
      <c r="B30" s="213" t="s">
        <v>523</v>
      </c>
      <c r="C30" s="219">
        <v>0</v>
      </c>
      <c r="D30" s="219">
        <v>0</v>
      </c>
      <c r="E30" s="219">
        <v>0</v>
      </c>
      <c r="F30" s="219">
        <v>29444.720000000001</v>
      </c>
      <c r="G30" s="219">
        <v>4186.29</v>
      </c>
      <c r="H30" s="219">
        <v>9800</v>
      </c>
      <c r="I30" s="219">
        <v>0</v>
      </c>
      <c r="J30" s="219">
        <v>0</v>
      </c>
      <c r="K30" s="219">
        <v>0</v>
      </c>
      <c r="L30" s="219">
        <v>0</v>
      </c>
      <c r="M30" s="219">
        <v>0</v>
      </c>
      <c r="N30" s="219">
        <v>0</v>
      </c>
      <c r="O30" s="219" t="e">
        <v>#VALUE!</v>
      </c>
      <c r="P30" s="219" t="e">
        <v>#VALUE!</v>
      </c>
      <c r="Q30" s="219" t="e">
        <v>#VALUE!</v>
      </c>
      <c r="R30" s="219" t="e">
        <v>#VALUE!</v>
      </c>
      <c r="S30" s="219" t="e">
        <v>#VALUE!</v>
      </c>
      <c r="T30" s="219" t="e">
        <v>#VALUE!</v>
      </c>
      <c r="U30" s="219" t="e">
        <v>#VALUE!</v>
      </c>
      <c r="V30" s="219" t="e">
        <v>#VALUE!</v>
      </c>
      <c r="W30" s="219" t="e">
        <v>#VALUE!</v>
      </c>
      <c r="X30" s="220" t="e">
        <f t="shared" si="1"/>
        <v>#VALUE!</v>
      </c>
      <c r="Y30" s="220" t="e">
        <f t="shared" si="2"/>
        <v>#VALUE!</v>
      </c>
    </row>
    <row r="31" spans="1:25" x14ac:dyDescent="0.2">
      <c r="B31" s="213" t="s">
        <v>524</v>
      </c>
      <c r="C31" s="221">
        <v>0</v>
      </c>
      <c r="D31" s="221">
        <v>0</v>
      </c>
      <c r="E31" s="221">
        <v>0</v>
      </c>
      <c r="F31" s="221">
        <v>29444.720000000001</v>
      </c>
      <c r="G31" s="221">
        <v>4186.29</v>
      </c>
      <c r="H31" s="221">
        <v>9800</v>
      </c>
      <c r="I31" s="221">
        <v>0</v>
      </c>
      <c r="J31" s="221">
        <v>0</v>
      </c>
      <c r="K31" s="221">
        <v>0</v>
      </c>
      <c r="L31" s="221">
        <v>0</v>
      </c>
      <c r="M31" s="221">
        <v>0</v>
      </c>
      <c r="N31" s="221">
        <v>0</v>
      </c>
      <c r="O31" s="221" t="e">
        <f>O30</f>
        <v>#VALUE!</v>
      </c>
      <c r="P31" s="221" t="e">
        <f t="shared" ref="P31:W32" si="7">P30</f>
        <v>#VALUE!</v>
      </c>
      <c r="Q31" s="221" t="e">
        <f t="shared" si="7"/>
        <v>#VALUE!</v>
      </c>
      <c r="R31" s="221" t="e">
        <f t="shared" si="7"/>
        <v>#VALUE!</v>
      </c>
      <c r="S31" s="221" t="e">
        <f t="shared" si="7"/>
        <v>#VALUE!</v>
      </c>
      <c r="T31" s="221" t="e">
        <f t="shared" si="7"/>
        <v>#VALUE!</v>
      </c>
      <c r="U31" s="221" t="e">
        <f t="shared" si="7"/>
        <v>#VALUE!</v>
      </c>
      <c r="V31" s="221" t="e">
        <f t="shared" si="7"/>
        <v>#VALUE!</v>
      </c>
      <c r="W31" s="221" t="e">
        <f t="shared" si="7"/>
        <v>#VALUE!</v>
      </c>
      <c r="X31" s="222" t="e">
        <f t="shared" si="1"/>
        <v>#VALUE!</v>
      </c>
      <c r="Y31" s="222" t="e">
        <f t="shared" si="2"/>
        <v>#VALUE!</v>
      </c>
    </row>
    <row r="32" spans="1:25" x14ac:dyDescent="0.2">
      <c r="B32" s="213" t="s">
        <v>525</v>
      </c>
      <c r="C32" s="221">
        <v>0</v>
      </c>
      <c r="D32" s="221">
        <v>0</v>
      </c>
      <c r="E32" s="221">
        <v>0</v>
      </c>
      <c r="F32" s="221">
        <v>29444.720000000001</v>
      </c>
      <c r="G32" s="221">
        <v>4186.29</v>
      </c>
      <c r="H32" s="221">
        <v>9800</v>
      </c>
      <c r="I32" s="221">
        <v>0</v>
      </c>
      <c r="J32" s="221">
        <v>0</v>
      </c>
      <c r="K32" s="221">
        <v>0</v>
      </c>
      <c r="L32" s="221">
        <v>0</v>
      </c>
      <c r="M32" s="221">
        <v>0</v>
      </c>
      <c r="N32" s="221">
        <v>0</v>
      </c>
      <c r="O32" s="221" t="e">
        <f>O31</f>
        <v>#VALUE!</v>
      </c>
      <c r="P32" s="221" t="e">
        <f t="shared" si="7"/>
        <v>#VALUE!</v>
      </c>
      <c r="Q32" s="221" t="e">
        <f t="shared" si="7"/>
        <v>#VALUE!</v>
      </c>
      <c r="R32" s="221" t="e">
        <f t="shared" si="7"/>
        <v>#VALUE!</v>
      </c>
      <c r="S32" s="221" t="e">
        <f t="shared" si="7"/>
        <v>#VALUE!</v>
      </c>
      <c r="T32" s="221" t="e">
        <f t="shared" si="7"/>
        <v>#VALUE!</v>
      </c>
      <c r="U32" s="221" t="e">
        <f t="shared" si="7"/>
        <v>#VALUE!</v>
      </c>
      <c r="V32" s="221" t="e">
        <f t="shared" si="7"/>
        <v>#VALUE!</v>
      </c>
      <c r="W32" s="221" t="e">
        <f t="shared" si="7"/>
        <v>#VALUE!</v>
      </c>
      <c r="X32" s="222" t="e">
        <f t="shared" si="1"/>
        <v>#VALUE!</v>
      </c>
      <c r="Y32" s="222" t="e">
        <f t="shared" si="2"/>
        <v>#VALUE!</v>
      </c>
    </row>
    <row r="33" spans="1:25" x14ac:dyDescent="0.2">
      <c r="B33" s="213" t="s">
        <v>526</v>
      </c>
      <c r="C33" s="213" t="s">
        <v>504</v>
      </c>
      <c r="D33" s="213" t="s">
        <v>504</v>
      </c>
      <c r="E33" s="213" t="s">
        <v>504</v>
      </c>
      <c r="F33" s="213" t="s">
        <v>504</v>
      </c>
      <c r="G33" s="213" t="s">
        <v>504</v>
      </c>
      <c r="H33" s="213" t="s">
        <v>504</v>
      </c>
      <c r="I33" s="213" t="s">
        <v>504</v>
      </c>
      <c r="J33" s="213" t="s">
        <v>504</v>
      </c>
      <c r="K33" s="213" t="s">
        <v>504</v>
      </c>
      <c r="L33" s="213" t="s">
        <v>504</v>
      </c>
      <c r="M33" s="213" t="s">
        <v>504</v>
      </c>
      <c r="N33" s="213" t="s">
        <v>504</v>
      </c>
      <c r="O33" s="213"/>
      <c r="P33" s="213"/>
      <c r="Q33" s="213"/>
      <c r="R33" s="213"/>
      <c r="S33" s="213"/>
      <c r="T33" s="213"/>
      <c r="U33" s="213"/>
      <c r="V33" s="213"/>
      <c r="W33" s="213"/>
      <c r="X33" s="218"/>
      <c r="Y33" s="218"/>
    </row>
    <row r="34" spans="1:25" x14ac:dyDescent="0.2">
      <c r="B34" s="213" t="s">
        <v>527</v>
      </c>
      <c r="C34" s="213" t="s">
        <v>506</v>
      </c>
      <c r="D34" s="213" t="s">
        <v>506</v>
      </c>
      <c r="E34" s="213" t="s">
        <v>506</v>
      </c>
      <c r="F34" s="213" t="s">
        <v>506</v>
      </c>
      <c r="G34" s="213" t="s">
        <v>506</v>
      </c>
      <c r="H34" s="213" t="s">
        <v>506</v>
      </c>
      <c r="I34" s="213" t="s">
        <v>506</v>
      </c>
      <c r="J34" s="213" t="s">
        <v>506</v>
      </c>
      <c r="K34" s="213" t="s">
        <v>506</v>
      </c>
      <c r="L34" s="213" t="s">
        <v>506</v>
      </c>
      <c r="M34" s="213" t="s">
        <v>506</v>
      </c>
      <c r="N34" s="213" t="s">
        <v>506</v>
      </c>
      <c r="O34" s="213"/>
      <c r="P34" s="213"/>
      <c r="Q34" s="213"/>
      <c r="R34" s="213"/>
      <c r="S34" s="213"/>
      <c r="T34" s="213"/>
      <c r="U34" s="213"/>
      <c r="V34" s="213"/>
      <c r="W34" s="213"/>
      <c r="X34" s="218"/>
      <c r="Y34" s="218"/>
    </row>
    <row r="35" spans="1:25" x14ac:dyDescent="0.2">
      <c r="A35" s="210">
        <v>600</v>
      </c>
      <c r="B35" s="213" t="s">
        <v>528</v>
      </c>
      <c r="C35" s="219">
        <v>170</v>
      </c>
      <c r="D35" s="219">
        <v>10291.82</v>
      </c>
      <c r="E35" s="219">
        <v>21570</v>
      </c>
      <c r="F35" s="219">
        <v>52473.25</v>
      </c>
      <c r="G35" s="219">
        <v>3140</v>
      </c>
      <c r="H35" s="219">
        <v>5820</v>
      </c>
      <c r="I35" s="219">
        <v>-3400</v>
      </c>
      <c r="J35" s="219">
        <v>86947.42</v>
      </c>
      <c r="K35" s="219">
        <v>1928.75</v>
      </c>
      <c r="L35" s="219">
        <v>935</v>
      </c>
      <c r="M35" s="219">
        <v>0</v>
      </c>
      <c r="N35" s="219">
        <v>1290</v>
      </c>
      <c r="O35" s="219" t="e">
        <v>#VALUE!</v>
      </c>
      <c r="P35" s="219" t="e">
        <v>#VALUE!</v>
      </c>
      <c r="Q35" s="219" t="e">
        <v>#VALUE!</v>
      </c>
      <c r="R35" s="219" t="e">
        <v>#VALUE!</v>
      </c>
      <c r="S35" s="219" t="e">
        <v>#VALUE!</v>
      </c>
      <c r="T35" s="219" t="e">
        <v>#VALUE!</v>
      </c>
      <c r="U35" s="219" t="e">
        <v>#VALUE!</v>
      </c>
      <c r="V35" s="219" t="e">
        <v>#VALUE!</v>
      </c>
      <c r="W35" s="219" t="e">
        <v>#VALUE!</v>
      </c>
      <c r="X35" s="220" t="e">
        <f t="shared" si="1"/>
        <v>#VALUE!</v>
      </c>
      <c r="Y35" s="220" t="e">
        <f t="shared" si="2"/>
        <v>#VALUE!</v>
      </c>
    </row>
    <row r="36" spans="1:25" x14ac:dyDescent="0.2">
      <c r="A36" s="210">
        <v>900</v>
      </c>
      <c r="B36" s="213" t="s">
        <v>529</v>
      </c>
      <c r="C36" s="219">
        <v>0</v>
      </c>
      <c r="D36" s="219">
        <v>0</v>
      </c>
      <c r="E36" s="219">
        <v>3000</v>
      </c>
      <c r="F36" s="219">
        <v>30000</v>
      </c>
      <c r="G36" s="219">
        <v>0</v>
      </c>
      <c r="H36" s="219">
        <v>0</v>
      </c>
      <c r="I36" s="219">
        <v>0</v>
      </c>
      <c r="J36" s="219">
        <v>0</v>
      </c>
      <c r="K36" s="219">
        <v>1500</v>
      </c>
      <c r="L36" s="219">
        <v>0</v>
      </c>
      <c r="M36" s="219">
        <v>0</v>
      </c>
      <c r="N36" s="219">
        <v>0</v>
      </c>
      <c r="O36" s="219" t="e">
        <v>#VALUE!</v>
      </c>
      <c r="P36" s="219" t="e">
        <v>#VALUE!</v>
      </c>
      <c r="Q36" s="219" t="e">
        <v>#VALUE!</v>
      </c>
      <c r="R36" s="219" t="e">
        <v>#VALUE!</v>
      </c>
      <c r="S36" s="219" t="e">
        <v>#VALUE!</v>
      </c>
      <c r="T36" s="219" t="e">
        <v>#VALUE!</v>
      </c>
      <c r="U36" s="219" t="e">
        <v>#VALUE!</v>
      </c>
      <c r="V36" s="219" t="e">
        <v>#VALUE!</v>
      </c>
      <c r="W36" s="219" t="e">
        <v>#VALUE!</v>
      </c>
      <c r="X36" s="220" t="e">
        <f t="shared" si="1"/>
        <v>#VALUE!</v>
      </c>
      <c r="Y36" s="220" t="e">
        <f t="shared" si="2"/>
        <v>#VALUE!</v>
      </c>
    </row>
    <row r="37" spans="1:25" x14ac:dyDescent="0.2">
      <c r="A37" s="210">
        <v>700</v>
      </c>
      <c r="B37" s="213" t="s">
        <v>530</v>
      </c>
      <c r="C37" s="219">
        <v>0</v>
      </c>
      <c r="D37" s="219">
        <v>0</v>
      </c>
      <c r="E37" s="219">
        <v>0</v>
      </c>
      <c r="F37" s="219">
        <v>0</v>
      </c>
      <c r="G37" s="219">
        <v>4654.37</v>
      </c>
      <c r="H37" s="219">
        <v>498.46</v>
      </c>
      <c r="I37" s="219">
        <v>0</v>
      </c>
      <c r="J37" s="219">
        <v>0</v>
      </c>
      <c r="K37" s="219">
        <v>0</v>
      </c>
      <c r="L37" s="219">
        <v>0</v>
      </c>
      <c r="M37" s="219">
        <v>0</v>
      </c>
      <c r="N37" s="219">
        <v>0</v>
      </c>
      <c r="O37" s="219" t="e">
        <v>#VALUE!</v>
      </c>
      <c r="P37" s="219" t="e">
        <v>#VALUE!</v>
      </c>
      <c r="Q37" s="219" t="e">
        <v>#VALUE!</v>
      </c>
      <c r="R37" s="219" t="e">
        <v>#VALUE!</v>
      </c>
      <c r="S37" s="219" t="e">
        <v>#VALUE!</v>
      </c>
      <c r="T37" s="219" t="e">
        <v>#VALUE!</v>
      </c>
      <c r="U37" s="219" t="e">
        <v>#VALUE!</v>
      </c>
      <c r="V37" s="219" t="e">
        <v>#VALUE!</v>
      </c>
      <c r="W37" s="219" t="e">
        <v>#VALUE!</v>
      </c>
      <c r="X37" s="220" t="e">
        <f t="shared" si="1"/>
        <v>#VALUE!</v>
      </c>
      <c r="Y37" s="220" t="e">
        <f t="shared" si="2"/>
        <v>#VALUE!</v>
      </c>
    </row>
    <row r="38" spans="1:25" x14ac:dyDescent="0.2">
      <c r="A38" s="210">
        <v>800</v>
      </c>
      <c r="B38" s="213" t="s">
        <v>531</v>
      </c>
      <c r="C38" s="219">
        <v>0</v>
      </c>
      <c r="D38" s="219">
        <v>0</v>
      </c>
      <c r="E38" s="219">
        <v>51647.64</v>
      </c>
      <c r="F38" s="219">
        <v>0</v>
      </c>
      <c r="G38" s="219">
        <v>30916.34</v>
      </c>
      <c r="H38" s="219">
        <v>75277.16</v>
      </c>
      <c r="I38" s="219">
        <v>0</v>
      </c>
      <c r="J38" s="219">
        <v>-7500</v>
      </c>
      <c r="K38" s="219">
        <v>0</v>
      </c>
      <c r="L38" s="219">
        <v>0</v>
      </c>
      <c r="M38" s="219">
        <v>11447.81</v>
      </c>
      <c r="N38" s="219">
        <v>0</v>
      </c>
      <c r="O38" s="219" t="e">
        <v>#VALUE!</v>
      </c>
      <c r="P38" s="219" t="e">
        <v>#VALUE!</v>
      </c>
      <c r="Q38" s="219" t="e">
        <v>#VALUE!</v>
      </c>
      <c r="R38" s="219" t="e">
        <v>#VALUE!</v>
      </c>
      <c r="S38" s="219" t="e">
        <v>#VALUE!</v>
      </c>
      <c r="T38" s="219" t="e">
        <v>#VALUE!</v>
      </c>
      <c r="U38" s="219" t="e">
        <v>#VALUE!</v>
      </c>
      <c r="V38" s="219" t="e">
        <v>#VALUE!</v>
      </c>
      <c r="W38" s="219" t="e">
        <v>#VALUE!</v>
      </c>
      <c r="X38" s="220" t="e">
        <f t="shared" si="1"/>
        <v>#VALUE!</v>
      </c>
      <c r="Y38" s="220" t="e">
        <f t="shared" si="2"/>
        <v>#VALUE!</v>
      </c>
    </row>
    <row r="39" spans="1:25" x14ac:dyDescent="0.2">
      <c r="B39" s="213" t="s">
        <v>532</v>
      </c>
      <c r="C39" s="221">
        <v>170</v>
      </c>
      <c r="D39" s="221">
        <v>10291.82</v>
      </c>
      <c r="E39" s="221">
        <v>76217.64</v>
      </c>
      <c r="F39" s="221">
        <v>82473.25</v>
      </c>
      <c r="G39" s="221">
        <v>38710.71</v>
      </c>
      <c r="H39" s="221">
        <v>81595.62</v>
      </c>
      <c r="I39" s="221">
        <v>-3400</v>
      </c>
      <c r="J39" s="221">
        <v>79447.42</v>
      </c>
      <c r="K39" s="221">
        <v>3428.75</v>
      </c>
      <c r="L39" s="221">
        <v>935</v>
      </c>
      <c r="M39" s="221">
        <v>11447.81</v>
      </c>
      <c r="N39" s="221">
        <v>1290</v>
      </c>
      <c r="O39" s="221" t="e">
        <f>SUM(O35:O38)</f>
        <v>#VALUE!</v>
      </c>
      <c r="P39" s="221" t="e">
        <f t="shared" ref="P39:W39" si="8">SUM(P35:P38)</f>
        <v>#VALUE!</v>
      </c>
      <c r="Q39" s="221" t="e">
        <f t="shared" si="8"/>
        <v>#VALUE!</v>
      </c>
      <c r="R39" s="221" t="e">
        <f t="shared" si="8"/>
        <v>#VALUE!</v>
      </c>
      <c r="S39" s="221" t="e">
        <f t="shared" si="8"/>
        <v>#VALUE!</v>
      </c>
      <c r="T39" s="221" t="e">
        <f t="shared" si="8"/>
        <v>#VALUE!</v>
      </c>
      <c r="U39" s="221" t="e">
        <f t="shared" si="8"/>
        <v>#VALUE!</v>
      </c>
      <c r="V39" s="221" t="e">
        <f t="shared" si="8"/>
        <v>#VALUE!</v>
      </c>
      <c r="W39" s="221" t="e">
        <f t="shared" si="8"/>
        <v>#VALUE!</v>
      </c>
      <c r="X39" s="222" t="e">
        <f t="shared" si="1"/>
        <v>#VALUE!</v>
      </c>
      <c r="Y39" s="222" t="e">
        <f t="shared" si="2"/>
        <v>#VALUE!</v>
      </c>
    </row>
    <row r="40" spans="1:25" x14ac:dyDescent="0.2">
      <c r="B40" s="213" t="s">
        <v>533</v>
      </c>
      <c r="C40" s="221">
        <v>170</v>
      </c>
      <c r="D40" s="221">
        <v>10291.82</v>
      </c>
      <c r="E40" s="221">
        <v>76217.64</v>
      </c>
      <c r="F40" s="221">
        <v>82473.25</v>
      </c>
      <c r="G40" s="221">
        <v>38710.71</v>
      </c>
      <c r="H40" s="221">
        <v>81595.62</v>
      </c>
      <c r="I40" s="221">
        <v>-3400</v>
      </c>
      <c r="J40" s="221">
        <v>79447.42</v>
      </c>
      <c r="K40" s="221">
        <v>3428.75</v>
      </c>
      <c r="L40" s="221">
        <v>935</v>
      </c>
      <c r="M40" s="221">
        <v>11447.81</v>
      </c>
      <c r="N40" s="221">
        <v>1290</v>
      </c>
      <c r="O40" s="221" t="e">
        <f>O39</f>
        <v>#VALUE!</v>
      </c>
      <c r="P40" s="221" t="e">
        <f t="shared" ref="P40:W40" si="9">P39</f>
        <v>#VALUE!</v>
      </c>
      <c r="Q40" s="221" t="e">
        <f t="shared" si="9"/>
        <v>#VALUE!</v>
      </c>
      <c r="R40" s="221" t="e">
        <f t="shared" si="9"/>
        <v>#VALUE!</v>
      </c>
      <c r="S40" s="221" t="e">
        <f t="shared" si="9"/>
        <v>#VALUE!</v>
      </c>
      <c r="T40" s="221" t="e">
        <f t="shared" si="9"/>
        <v>#VALUE!</v>
      </c>
      <c r="U40" s="221" t="e">
        <f t="shared" si="9"/>
        <v>#VALUE!</v>
      </c>
      <c r="V40" s="221" t="e">
        <f t="shared" si="9"/>
        <v>#VALUE!</v>
      </c>
      <c r="W40" s="221" t="e">
        <f t="shared" si="9"/>
        <v>#VALUE!</v>
      </c>
      <c r="X40" s="222" t="e">
        <f t="shared" si="1"/>
        <v>#VALUE!</v>
      </c>
      <c r="Y40" s="222" t="e">
        <f t="shared" si="2"/>
        <v>#VALUE!</v>
      </c>
    </row>
    <row r="41" spans="1:25" x14ac:dyDescent="0.2">
      <c r="B41" s="213" t="s">
        <v>534</v>
      </c>
      <c r="C41" s="221">
        <v>15265</v>
      </c>
      <c r="D41" s="221">
        <v>24350.36</v>
      </c>
      <c r="E41" s="221">
        <v>79516.62</v>
      </c>
      <c r="F41" s="221">
        <v>133455.10999999999</v>
      </c>
      <c r="G41" s="221">
        <v>82196.03</v>
      </c>
      <c r="H41" s="221">
        <v>93380.800000000003</v>
      </c>
      <c r="I41" s="221">
        <v>8342.07</v>
      </c>
      <c r="J41" s="221">
        <v>114281.66</v>
      </c>
      <c r="K41" s="221">
        <v>45234.65</v>
      </c>
      <c r="L41" s="221">
        <v>21958.91</v>
      </c>
      <c r="M41" s="221">
        <v>26476.14</v>
      </c>
      <c r="N41" s="221">
        <v>76377</v>
      </c>
      <c r="O41" s="221" t="e">
        <f>O40+O32+O27+O21</f>
        <v>#VALUE!</v>
      </c>
      <c r="P41" s="221" t="e">
        <f t="shared" ref="P41:W41" si="10">P40+P32+P27+P21</f>
        <v>#VALUE!</v>
      </c>
      <c r="Q41" s="221" t="e">
        <f t="shared" si="10"/>
        <v>#VALUE!</v>
      </c>
      <c r="R41" s="221" t="e">
        <f t="shared" si="10"/>
        <v>#VALUE!</v>
      </c>
      <c r="S41" s="221" t="e">
        <f t="shared" si="10"/>
        <v>#VALUE!</v>
      </c>
      <c r="T41" s="221" t="e">
        <f t="shared" si="10"/>
        <v>#VALUE!</v>
      </c>
      <c r="U41" s="221" t="e">
        <f t="shared" si="10"/>
        <v>#VALUE!</v>
      </c>
      <c r="V41" s="221" t="e">
        <f t="shared" si="10"/>
        <v>#VALUE!</v>
      </c>
      <c r="W41" s="221" t="e">
        <f t="shared" si="10"/>
        <v>#VALUE!</v>
      </c>
      <c r="X41" s="222" t="e">
        <f t="shared" si="1"/>
        <v>#VALUE!</v>
      </c>
      <c r="Y41" s="222" t="e">
        <f t="shared" si="2"/>
        <v>#VALUE!</v>
      </c>
    </row>
    <row r="42" spans="1:25" x14ac:dyDescent="0.2">
      <c r="B42" s="213" t="s">
        <v>535</v>
      </c>
      <c r="C42" s="223">
        <v>-15265</v>
      </c>
      <c r="D42" s="223">
        <v>-24350.36</v>
      </c>
      <c r="E42" s="223">
        <v>-79516.62</v>
      </c>
      <c r="F42" s="223">
        <v>-133455.10999999999</v>
      </c>
      <c r="G42" s="223">
        <v>-82196.03</v>
      </c>
      <c r="H42" s="223">
        <v>-93380.800000000003</v>
      </c>
      <c r="I42" s="223">
        <v>-8342.07</v>
      </c>
      <c r="J42" s="223">
        <v>-114281.66</v>
      </c>
      <c r="K42" s="223">
        <v>-45234.65</v>
      </c>
      <c r="L42" s="223">
        <v>-21958.91</v>
      </c>
      <c r="M42" s="223">
        <v>-26476.14</v>
      </c>
      <c r="N42" s="223">
        <v>-76377</v>
      </c>
      <c r="O42" s="223" t="e">
        <f>-O41</f>
        <v>#VALUE!</v>
      </c>
      <c r="P42" s="223" t="e">
        <f t="shared" ref="P42:W42" si="11">-P41</f>
        <v>#VALUE!</v>
      </c>
      <c r="Q42" s="223" t="e">
        <f t="shared" si="11"/>
        <v>#VALUE!</v>
      </c>
      <c r="R42" s="223" t="e">
        <f t="shared" si="11"/>
        <v>#VALUE!</v>
      </c>
      <c r="S42" s="223" t="e">
        <f t="shared" si="11"/>
        <v>#VALUE!</v>
      </c>
      <c r="T42" s="223" t="e">
        <f t="shared" si="11"/>
        <v>#VALUE!</v>
      </c>
      <c r="U42" s="223" t="e">
        <f t="shared" si="11"/>
        <v>#VALUE!</v>
      </c>
      <c r="V42" s="223" t="e">
        <f t="shared" si="11"/>
        <v>#VALUE!</v>
      </c>
      <c r="W42" s="223" t="e">
        <f t="shared" si="11"/>
        <v>#VALUE!</v>
      </c>
      <c r="X42" s="224" t="e">
        <f t="shared" si="1"/>
        <v>#VALUE!</v>
      </c>
      <c r="Y42" s="224" t="e">
        <f t="shared" si="2"/>
        <v>#VALUE!</v>
      </c>
    </row>
    <row r="43" spans="1:25" x14ac:dyDescent="0.2">
      <c r="B43" s="218" t="s">
        <v>536</v>
      </c>
      <c r="C43" s="225" t="s">
        <v>500</v>
      </c>
      <c r="D43" s="225" t="s">
        <v>500</v>
      </c>
      <c r="E43" s="225" t="s">
        <v>500</v>
      </c>
      <c r="F43" s="225" t="s">
        <v>500</v>
      </c>
      <c r="G43" s="225" t="s">
        <v>500</v>
      </c>
      <c r="H43" s="225" t="s">
        <v>500</v>
      </c>
      <c r="I43" s="225" t="s">
        <v>500</v>
      </c>
      <c r="J43" s="225" t="s">
        <v>500</v>
      </c>
      <c r="K43" s="225" t="s">
        <v>500</v>
      </c>
      <c r="L43" s="225" t="s">
        <v>500</v>
      </c>
      <c r="M43" s="225" t="s">
        <v>500</v>
      </c>
      <c r="N43" s="225" t="s">
        <v>500</v>
      </c>
      <c r="O43" s="225"/>
      <c r="P43" s="225"/>
      <c r="Q43" s="225"/>
      <c r="R43" s="225"/>
      <c r="S43" s="225"/>
      <c r="T43" s="225"/>
      <c r="U43" s="225"/>
      <c r="V43" s="225"/>
      <c r="W43" s="225"/>
      <c r="X43" s="225"/>
      <c r="Y43" s="225"/>
    </row>
    <row r="44" spans="1:25" x14ac:dyDescent="0.2">
      <c r="B44" s="213" t="s">
        <v>537</v>
      </c>
      <c r="C44" s="213" t="s">
        <v>502</v>
      </c>
      <c r="D44" s="213" t="s">
        <v>502</v>
      </c>
      <c r="E44" s="213" t="s">
        <v>502</v>
      </c>
      <c r="F44" s="213" t="s">
        <v>502</v>
      </c>
      <c r="G44" s="213" t="s">
        <v>502</v>
      </c>
      <c r="H44" s="213" t="s">
        <v>502</v>
      </c>
      <c r="I44" s="213" t="s">
        <v>502</v>
      </c>
      <c r="J44" s="213" t="s">
        <v>502</v>
      </c>
      <c r="K44" s="213" t="s">
        <v>502</v>
      </c>
      <c r="L44" s="213" t="s">
        <v>502</v>
      </c>
      <c r="M44" s="213" t="s">
        <v>502</v>
      </c>
      <c r="N44" s="213" t="s">
        <v>502</v>
      </c>
      <c r="O44" s="213"/>
      <c r="P44" s="213"/>
      <c r="Q44" s="213"/>
      <c r="R44" s="213"/>
      <c r="S44" s="213"/>
      <c r="T44" s="213"/>
      <c r="U44" s="213"/>
      <c r="V44" s="213"/>
      <c r="W44" s="213"/>
      <c r="X44" s="218"/>
      <c r="Y44" s="218"/>
    </row>
    <row r="45" spans="1:25" x14ac:dyDescent="0.2">
      <c r="B45" s="213" t="s">
        <v>538</v>
      </c>
      <c r="C45" s="213" t="s">
        <v>504</v>
      </c>
      <c r="D45" s="213" t="s">
        <v>504</v>
      </c>
      <c r="E45" s="213" t="s">
        <v>504</v>
      </c>
      <c r="F45" s="213" t="s">
        <v>504</v>
      </c>
      <c r="G45" s="213" t="s">
        <v>504</v>
      </c>
      <c r="H45" s="213" t="s">
        <v>504</v>
      </c>
      <c r="I45" s="213" t="s">
        <v>504</v>
      </c>
      <c r="J45" s="213" t="s">
        <v>504</v>
      </c>
      <c r="K45" s="213" t="s">
        <v>504</v>
      </c>
      <c r="L45" s="213" t="s">
        <v>504</v>
      </c>
      <c r="M45" s="213" t="s">
        <v>504</v>
      </c>
      <c r="N45" s="213" t="s">
        <v>504</v>
      </c>
      <c r="O45" s="213"/>
      <c r="P45" s="213"/>
      <c r="Q45" s="213"/>
      <c r="R45" s="213"/>
      <c r="S45" s="213"/>
      <c r="T45" s="213"/>
      <c r="U45" s="213"/>
      <c r="V45" s="213"/>
      <c r="W45" s="213"/>
      <c r="X45" s="218"/>
      <c r="Y45" s="218"/>
    </row>
    <row r="46" spans="1:25" x14ac:dyDescent="0.2">
      <c r="B46" s="213" t="s">
        <v>539</v>
      </c>
      <c r="C46" s="219">
        <v>297863.39</v>
      </c>
      <c r="D46" s="219">
        <v>57617.16</v>
      </c>
      <c r="E46" s="219">
        <v>48989.87</v>
      </c>
      <c r="F46" s="219">
        <v>65324.959999999999</v>
      </c>
      <c r="G46" s="219">
        <v>55563.67</v>
      </c>
      <c r="H46" s="219">
        <v>44311.97</v>
      </c>
      <c r="I46" s="219">
        <v>40017.14</v>
      </c>
      <c r="J46" s="219">
        <v>27622.82</v>
      </c>
      <c r="K46" s="219">
        <v>17871.66</v>
      </c>
      <c r="L46" s="219">
        <v>18818.72</v>
      </c>
      <c r="M46" s="219">
        <v>15651.96</v>
      </c>
      <c r="N46" s="219">
        <v>18649.849999999999</v>
      </c>
      <c r="O46" s="219">
        <v>18000</v>
      </c>
      <c r="P46" s="219">
        <v>18000</v>
      </c>
      <c r="Q46" s="219">
        <v>18000</v>
      </c>
      <c r="R46" s="219">
        <v>18000</v>
      </c>
      <c r="S46" s="219">
        <v>18000</v>
      </c>
      <c r="T46" s="219">
        <v>18000</v>
      </c>
      <c r="U46" s="219">
        <v>18000</v>
      </c>
      <c r="V46" s="219">
        <v>18000</v>
      </c>
      <c r="W46" s="219">
        <v>18000</v>
      </c>
      <c r="X46" s="220">
        <f t="shared" si="1"/>
        <v>870303.16999999993</v>
      </c>
      <c r="Y46" s="220">
        <f t="shared" si="2"/>
        <v>215120.53</v>
      </c>
    </row>
    <row r="47" spans="1:25" x14ac:dyDescent="0.2">
      <c r="A47" s="210">
        <v>10</v>
      </c>
      <c r="B47" s="213" t="s">
        <v>540</v>
      </c>
      <c r="C47" s="219">
        <v>0</v>
      </c>
      <c r="D47" s="219">
        <v>250000</v>
      </c>
      <c r="E47" s="219">
        <v>0</v>
      </c>
      <c r="F47" s="219">
        <v>0</v>
      </c>
      <c r="G47" s="219">
        <v>0</v>
      </c>
      <c r="H47" s="219">
        <v>467.8</v>
      </c>
      <c r="I47" s="219">
        <v>0</v>
      </c>
      <c r="J47" s="219">
        <v>143100</v>
      </c>
      <c r="K47" s="219">
        <v>0</v>
      </c>
      <c r="L47" s="219">
        <v>0</v>
      </c>
      <c r="M47" s="219">
        <v>0</v>
      </c>
      <c r="N47" s="219">
        <v>0</v>
      </c>
      <c r="O47" s="219" t="e">
        <v>#VALUE!</v>
      </c>
      <c r="P47" s="219" t="e">
        <v>#VALUE!</v>
      </c>
      <c r="Q47" s="219" t="e">
        <v>#VALUE!</v>
      </c>
      <c r="R47" s="219" t="e">
        <v>#VALUE!</v>
      </c>
      <c r="S47" s="219" t="e">
        <v>#VALUE!</v>
      </c>
      <c r="T47" s="219" t="e">
        <v>#VALUE!</v>
      </c>
      <c r="U47" s="219" t="e">
        <v>#VALUE!</v>
      </c>
      <c r="V47" s="219" t="e">
        <v>#VALUE!</v>
      </c>
      <c r="W47" s="219" t="e">
        <v>#VALUE!</v>
      </c>
      <c r="X47" s="220" t="e">
        <f t="shared" si="1"/>
        <v>#VALUE!</v>
      </c>
      <c r="Y47" s="220" t="e">
        <f t="shared" si="2"/>
        <v>#VALUE!</v>
      </c>
    </row>
    <row r="48" spans="1:25" x14ac:dyDescent="0.2">
      <c r="B48" s="213" t="s">
        <v>541</v>
      </c>
      <c r="C48" s="221">
        <v>297863.39</v>
      </c>
      <c r="D48" s="221">
        <v>307617.15999999997</v>
      </c>
      <c r="E48" s="221">
        <v>48989.87</v>
      </c>
      <c r="F48" s="221">
        <v>65324.959999999999</v>
      </c>
      <c r="G48" s="221">
        <v>55563.67</v>
      </c>
      <c r="H48" s="221">
        <v>44779.77</v>
      </c>
      <c r="I48" s="221">
        <v>40017.14</v>
      </c>
      <c r="J48" s="221">
        <v>170722.82</v>
      </c>
      <c r="K48" s="221">
        <v>17871.66</v>
      </c>
      <c r="L48" s="221">
        <v>18818.72</v>
      </c>
      <c r="M48" s="221">
        <v>15651.96</v>
      </c>
      <c r="N48" s="221">
        <v>18649.849999999999</v>
      </c>
      <c r="O48" s="221" t="e">
        <f>SUM(O46:O47)</f>
        <v>#VALUE!</v>
      </c>
      <c r="P48" s="221" t="e">
        <f t="shared" ref="P48:W48" si="12">SUM(P46:P47)</f>
        <v>#VALUE!</v>
      </c>
      <c r="Q48" s="221" t="e">
        <f t="shared" si="12"/>
        <v>#VALUE!</v>
      </c>
      <c r="R48" s="221" t="e">
        <f t="shared" si="12"/>
        <v>#VALUE!</v>
      </c>
      <c r="S48" s="221" t="e">
        <f t="shared" si="12"/>
        <v>#VALUE!</v>
      </c>
      <c r="T48" s="221" t="e">
        <f t="shared" si="12"/>
        <v>#VALUE!</v>
      </c>
      <c r="U48" s="221" t="e">
        <f t="shared" si="12"/>
        <v>#VALUE!</v>
      </c>
      <c r="V48" s="221" t="e">
        <f t="shared" si="12"/>
        <v>#VALUE!</v>
      </c>
      <c r="W48" s="221" t="e">
        <f t="shared" si="12"/>
        <v>#VALUE!</v>
      </c>
      <c r="X48" s="222" t="e">
        <f t="shared" si="1"/>
        <v>#VALUE!</v>
      </c>
      <c r="Y48" s="222" t="e">
        <f t="shared" si="2"/>
        <v>#VALUE!</v>
      </c>
    </row>
    <row r="49" spans="2:25" x14ac:dyDescent="0.2">
      <c r="B49" s="213" t="s">
        <v>542</v>
      </c>
      <c r="C49" s="221">
        <v>297863.39</v>
      </c>
      <c r="D49" s="221">
        <v>307617.15999999997</v>
      </c>
      <c r="E49" s="221">
        <v>48989.87</v>
      </c>
      <c r="F49" s="221">
        <v>65324.959999999999</v>
      </c>
      <c r="G49" s="221">
        <v>55563.67</v>
      </c>
      <c r="H49" s="221">
        <v>44779.77</v>
      </c>
      <c r="I49" s="221">
        <v>40017.14</v>
      </c>
      <c r="J49" s="221">
        <v>170722.82</v>
      </c>
      <c r="K49" s="221">
        <v>17871.66</v>
      </c>
      <c r="L49" s="221">
        <v>18818.72</v>
      </c>
      <c r="M49" s="221">
        <v>15651.96</v>
      </c>
      <c r="N49" s="221">
        <v>18649.849999999999</v>
      </c>
      <c r="O49" s="221" t="e">
        <f>O48</f>
        <v>#VALUE!</v>
      </c>
      <c r="P49" s="221" t="e">
        <f t="shared" ref="P49:W50" si="13">P48</f>
        <v>#VALUE!</v>
      </c>
      <c r="Q49" s="221" t="e">
        <f t="shared" si="13"/>
        <v>#VALUE!</v>
      </c>
      <c r="R49" s="221" t="e">
        <f t="shared" si="13"/>
        <v>#VALUE!</v>
      </c>
      <c r="S49" s="221" t="e">
        <f t="shared" si="13"/>
        <v>#VALUE!</v>
      </c>
      <c r="T49" s="221" t="e">
        <f t="shared" si="13"/>
        <v>#VALUE!</v>
      </c>
      <c r="U49" s="221" t="e">
        <f t="shared" si="13"/>
        <v>#VALUE!</v>
      </c>
      <c r="V49" s="221" t="e">
        <f t="shared" si="13"/>
        <v>#VALUE!</v>
      </c>
      <c r="W49" s="221" t="e">
        <f t="shared" si="13"/>
        <v>#VALUE!</v>
      </c>
      <c r="X49" s="222" t="e">
        <f t="shared" si="1"/>
        <v>#VALUE!</v>
      </c>
      <c r="Y49" s="222" t="e">
        <f t="shared" si="2"/>
        <v>#VALUE!</v>
      </c>
    </row>
    <row r="50" spans="2:25" x14ac:dyDescent="0.2">
      <c r="B50" s="213" t="s">
        <v>543</v>
      </c>
      <c r="C50" s="223">
        <v>297863.39</v>
      </c>
      <c r="D50" s="223">
        <v>307617.15999999997</v>
      </c>
      <c r="E50" s="223">
        <v>48989.87</v>
      </c>
      <c r="F50" s="223">
        <v>65324.959999999999</v>
      </c>
      <c r="G50" s="223">
        <v>55563.67</v>
      </c>
      <c r="H50" s="223">
        <v>44779.77</v>
      </c>
      <c r="I50" s="223">
        <v>40017.14</v>
      </c>
      <c r="J50" s="223">
        <v>170722.82</v>
      </c>
      <c r="K50" s="223">
        <v>17871.66</v>
      </c>
      <c r="L50" s="223">
        <v>18818.72</v>
      </c>
      <c r="M50" s="223">
        <v>15651.96</v>
      </c>
      <c r="N50" s="223">
        <v>18649.849999999999</v>
      </c>
      <c r="O50" s="223" t="e">
        <f>O49</f>
        <v>#VALUE!</v>
      </c>
      <c r="P50" s="223" t="e">
        <f t="shared" si="13"/>
        <v>#VALUE!</v>
      </c>
      <c r="Q50" s="223" t="e">
        <f t="shared" si="13"/>
        <v>#VALUE!</v>
      </c>
      <c r="R50" s="223" t="e">
        <f t="shared" si="13"/>
        <v>#VALUE!</v>
      </c>
      <c r="S50" s="223" t="e">
        <f t="shared" si="13"/>
        <v>#VALUE!</v>
      </c>
      <c r="T50" s="223" t="e">
        <f t="shared" si="13"/>
        <v>#VALUE!</v>
      </c>
      <c r="U50" s="223" t="e">
        <f t="shared" si="13"/>
        <v>#VALUE!</v>
      </c>
      <c r="V50" s="223" t="e">
        <f t="shared" si="13"/>
        <v>#VALUE!</v>
      </c>
      <c r="W50" s="223" t="e">
        <f t="shared" si="13"/>
        <v>#VALUE!</v>
      </c>
      <c r="X50" s="224" t="e">
        <f t="shared" si="1"/>
        <v>#VALUE!</v>
      </c>
      <c r="Y50" s="224" t="e">
        <f t="shared" si="2"/>
        <v>#VALUE!</v>
      </c>
    </row>
    <row r="51" spans="2:25" x14ac:dyDescent="0.2">
      <c r="B51" s="226" t="s">
        <v>493</v>
      </c>
      <c r="C51" s="226"/>
      <c r="D51" s="226"/>
      <c r="E51" s="226"/>
      <c r="F51" s="226"/>
      <c r="G51" s="226"/>
      <c r="H51" s="226"/>
      <c r="I51" s="226"/>
      <c r="J51" s="226"/>
      <c r="K51" s="226"/>
      <c r="L51" s="226"/>
      <c r="M51" s="226"/>
      <c r="N51" s="226"/>
      <c r="O51" s="226"/>
      <c r="P51" s="226"/>
      <c r="Q51" s="226"/>
      <c r="R51" s="226"/>
      <c r="S51" s="226"/>
      <c r="T51" s="226"/>
      <c r="U51" s="226"/>
      <c r="V51" s="226"/>
      <c r="W51" s="226"/>
      <c r="X51" s="227"/>
      <c r="Y51" s="227"/>
    </row>
    <row r="52" spans="2:25" ht="13.5" thickBot="1" x14ac:dyDescent="0.25">
      <c r="B52" s="218" t="s">
        <v>544</v>
      </c>
      <c r="C52" s="228">
        <v>282598.39</v>
      </c>
      <c r="D52" s="228">
        <v>283266.8</v>
      </c>
      <c r="E52" s="228">
        <v>-30526.75</v>
      </c>
      <c r="F52" s="228">
        <v>-68130.149999999994</v>
      </c>
      <c r="G52" s="228">
        <v>-26632.36</v>
      </c>
      <c r="H52" s="228">
        <v>-48601.03</v>
      </c>
      <c r="I52" s="228">
        <v>31675.07</v>
      </c>
      <c r="J52" s="228">
        <v>56441.16</v>
      </c>
      <c r="K52" s="228">
        <v>-27362.99</v>
      </c>
      <c r="L52" s="228">
        <v>-3140.19</v>
      </c>
      <c r="M52" s="228">
        <v>-10824.18</v>
      </c>
      <c r="N52" s="228">
        <v>-57727.15</v>
      </c>
      <c r="O52" s="228" t="e">
        <f>O42+O50</f>
        <v>#VALUE!</v>
      </c>
      <c r="P52" s="228" t="e">
        <f t="shared" ref="P52:W52" si="14">P42+P50</f>
        <v>#VALUE!</v>
      </c>
      <c r="Q52" s="228" t="e">
        <f t="shared" si="14"/>
        <v>#VALUE!</v>
      </c>
      <c r="R52" s="228" t="e">
        <f t="shared" si="14"/>
        <v>#VALUE!</v>
      </c>
      <c r="S52" s="228" t="e">
        <f t="shared" si="14"/>
        <v>#VALUE!</v>
      </c>
      <c r="T52" s="228" t="e">
        <f t="shared" si="14"/>
        <v>#VALUE!</v>
      </c>
      <c r="U52" s="228" t="e">
        <f t="shared" si="14"/>
        <v>#VALUE!</v>
      </c>
      <c r="V52" s="228" t="e">
        <f t="shared" si="14"/>
        <v>#VALUE!</v>
      </c>
      <c r="W52" s="228" t="e">
        <f t="shared" si="14"/>
        <v>#VALUE!</v>
      </c>
      <c r="X52" s="228" t="e">
        <f t="shared" si="1"/>
        <v>#VALUE!</v>
      </c>
      <c r="Y52" s="228" t="e">
        <f t="shared" si="2"/>
        <v>#VALUE!</v>
      </c>
    </row>
    <row r="53" spans="2:25" ht="13.5" thickTop="1" x14ac:dyDescent="0.2">
      <c r="B53" s="214" t="s">
        <v>493</v>
      </c>
      <c r="X53" s="229"/>
      <c r="Y53" s="229"/>
    </row>
    <row r="54" spans="2:25" x14ac:dyDescent="0.2">
      <c r="B54" s="214" t="s">
        <v>493</v>
      </c>
      <c r="X54" s="229"/>
      <c r="Y54" s="229"/>
    </row>
    <row r="55" spans="2:25" ht="13.5" thickBot="1" x14ac:dyDescent="0.25">
      <c r="B55" s="213" t="s">
        <v>545</v>
      </c>
      <c r="C55" s="228">
        <f>C52+D52</f>
        <v>565865.18999999994</v>
      </c>
      <c r="D55" s="228">
        <f>C55+D52</f>
        <v>849131.99</v>
      </c>
      <c r="E55" s="228">
        <f t="shared" ref="E55:N55" si="15">D55+E52</f>
        <v>818605.24</v>
      </c>
      <c r="F55" s="228">
        <f t="shared" si="15"/>
        <v>750475.09</v>
      </c>
      <c r="G55" s="228">
        <f t="shared" si="15"/>
        <v>723842.73</v>
      </c>
      <c r="H55" s="228">
        <f t="shared" si="15"/>
        <v>675241.7</v>
      </c>
      <c r="I55" s="228">
        <f t="shared" si="15"/>
        <v>706916.7699999999</v>
      </c>
      <c r="J55" s="228">
        <f t="shared" si="15"/>
        <v>763357.92999999993</v>
      </c>
      <c r="K55" s="228">
        <f t="shared" si="15"/>
        <v>735994.94</v>
      </c>
      <c r="L55" s="228">
        <f t="shared" si="15"/>
        <v>732854.75</v>
      </c>
      <c r="M55" s="228">
        <f t="shared" si="15"/>
        <v>722030.57</v>
      </c>
      <c r="N55" s="228">
        <f t="shared" si="15"/>
        <v>664303.41999999993</v>
      </c>
      <c r="O55" s="228" t="e">
        <f>N55+O52</f>
        <v>#VALUE!</v>
      </c>
      <c r="P55" s="228" t="e">
        <f t="shared" ref="P55:W55" si="16">O55+P52</f>
        <v>#VALUE!</v>
      </c>
      <c r="Q55" s="228" t="e">
        <f t="shared" si="16"/>
        <v>#VALUE!</v>
      </c>
      <c r="R55" s="228" t="e">
        <f t="shared" si="16"/>
        <v>#VALUE!</v>
      </c>
      <c r="S55" s="228" t="e">
        <f t="shared" si="16"/>
        <v>#VALUE!</v>
      </c>
      <c r="T55" s="228" t="e">
        <f t="shared" si="16"/>
        <v>#VALUE!</v>
      </c>
      <c r="U55" s="228" t="e">
        <f t="shared" si="16"/>
        <v>#VALUE!</v>
      </c>
      <c r="V55" s="228" t="e">
        <f t="shared" si="16"/>
        <v>#VALUE!</v>
      </c>
      <c r="W55" s="228" t="e">
        <f t="shared" si="16"/>
        <v>#VALUE!</v>
      </c>
      <c r="X55" s="228" t="e">
        <f>W55</f>
        <v>#VALUE!</v>
      </c>
      <c r="Y55" s="228" t="e">
        <f>SUM(L52:W52)</f>
        <v>#VALUE!</v>
      </c>
    </row>
    <row r="56" spans="2:25" ht="13.5" thickTop="1" x14ac:dyDescent="0.2"/>
    <row r="58" spans="2:25" x14ac:dyDescent="0.2">
      <c r="B58" s="218"/>
    </row>
    <row r="59" spans="2:25" x14ac:dyDescent="0.2">
      <c r="L59" s="219"/>
      <c r="M59" s="219"/>
      <c r="N59" s="219"/>
      <c r="O59" s="219"/>
      <c r="P59" s="219"/>
      <c r="Q59" s="219"/>
      <c r="R59" s="219"/>
      <c r="S59" s="219"/>
      <c r="T59" s="219"/>
      <c r="U59" s="219"/>
      <c r="V59" s="219"/>
      <c r="W59" s="219"/>
      <c r="X59" s="219"/>
      <c r="Y59" s="219"/>
    </row>
    <row r="60" spans="2:25" x14ac:dyDescent="0.2">
      <c r="L60" s="219"/>
      <c r="M60" s="219"/>
      <c r="N60" s="219"/>
      <c r="O60" s="219"/>
      <c r="P60" s="219"/>
      <c r="Q60" s="219"/>
      <c r="R60" s="219"/>
      <c r="S60" s="219"/>
      <c r="T60" s="219"/>
      <c r="U60" s="219"/>
      <c r="V60" s="219"/>
      <c r="W60" s="219"/>
      <c r="X60" s="219"/>
      <c r="Y60" s="219"/>
    </row>
    <row r="61" spans="2:25" x14ac:dyDescent="0.2">
      <c r="L61" s="219"/>
      <c r="M61" s="219"/>
      <c r="N61" s="219"/>
      <c r="O61" s="219"/>
      <c r="P61" s="219"/>
      <c r="Q61" s="219"/>
      <c r="R61" s="219"/>
      <c r="S61" s="219"/>
      <c r="T61" s="219"/>
      <c r="U61" s="219"/>
      <c r="V61" s="219"/>
      <c r="W61" s="219"/>
      <c r="X61" s="219"/>
      <c r="Y61" s="219"/>
    </row>
    <row r="62" spans="2:25" x14ac:dyDescent="0.2">
      <c r="L62" s="219"/>
      <c r="M62" s="219"/>
      <c r="N62" s="219"/>
      <c r="O62" s="219"/>
      <c r="P62" s="219"/>
      <c r="Q62" s="219"/>
      <c r="R62" s="219"/>
      <c r="S62" s="219"/>
      <c r="T62" s="219"/>
      <c r="U62" s="219"/>
      <c r="V62" s="219"/>
      <c r="W62" s="219"/>
      <c r="X62" s="219"/>
      <c r="Y62" s="219"/>
    </row>
    <row r="63" spans="2:25" x14ac:dyDescent="0.2">
      <c r="L63" s="219"/>
      <c r="M63" s="219"/>
      <c r="N63" s="219"/>
      <c r="O63" s="219"/>
      <c r="P63" s="219"/>
      <c r="Q63" s="219"/>
      <c r="R63" s="219"/>
      <c r="S63" s="219"/>
      <c r="T63" s="219"/>
      <c r="U63" s="219"/>
      <c r="V63" s="219"/>
      <c r="W63" s="219"/>
      <c r="X63" s="219"/>
      <c r="Y63" s="219"/>
    </row>
    <row r="64" spans="2:25" x14ac:dyDescent="0.2">
      <c r="L64" s="219"/>
      <c r="M64" s="219"/>
      <c r="N64" s="219"/>
      <c r="O64" s="219"/>
      <c r="P64" s="219"/>
      <c r="Q64" s="219"/>
      <c r="R64" s="219"/>
      <c r="S64" s="219"/>
      <c r="T64" s="219"/>
      <c r="U64" s="219"/>
      <c r="V64" s="219"/>
      <c r="W64" s="219"/>
      <c r="X64" s="219"/>
      <c r="Y64" s="219"/>
    </row>
    <row r="65" spans="12:25" x14ac:dyDescent="0.2">
      <c r="L65" s="219"/>
      <c r="M65" s="219"/>
      <c r="N65" s="219"/>
      <c r="O65" s="219"/>
      <c r="P65" s="219"/>
      <c r="Q65" s="219"/>
      <c r="R65" s="219"/>
      <c r="S65" s="219"/>
      <c r="T65" s="219"/>
      <c r="U65" s="219"/>
      <c r="V65" s="219"/>
      <c r="W65" s="219"/>
      <c r="X65" s="219"/>
      <c r="Y65" s="219"/>
    </row>
    <row r="66" spans="12:25" x14ac:dyDescent="0.2">
      <c r="L66" s="219"/>
      <c r="M66" s="219"/>
      <c r="N66" s="219"/>
      <c r="O66" s="219"/>
      <c r="P66" s="219"/>
      <c r="Q66" s="219"/>
      <c r="R66" s="219"/>
      <c r="S66" s="219"/>
      <c r="T66" s="219"/>
      <c r="U66" s="219"/>
      <c r="V66" s="219"/>
      <c r="W66" s="219"/>
      <c r="X66" s="219"/>
      <c r="Y66" s="219"/>
    </row>
    <row r="67" spans="12:25" x14ac:dyDescent="0.2">
      <c r="L67" s="219"/>
      <c r="M67" s="219"/>
      <c r="N67" s="219"/>
      <c r="O67" s="219"/>
      <c r="P67" s="219"/>
      <c r="Q67" s="219"/>
      <c r="R67" s="219"/>
      <c r="S67" s="219"/>
      <c r="T67" s="219"/>
      <c r="U67" s="219"/>
      <c r="V67" s="219"/>
      <c r="W67" s="219"/>
      <c r="X67" s="219"/>
      <c r="Y67" s="219"/>
    </row>
    <row r="68" spans="12:25" x14ac:dyDescent="0.2">
      <c r="L68" s="219"/>
      <c r="M68" s="219"/>
      <c r="N68" s="219"/>
      <c r="O68" s="219"/>
      <c r="P68" s="219"/>
      <c r="Q68" s="219"/>
      <c r="R68" s="219"/>
      <c r="S68" s="219"/>
      <c r="T68" s="219"/>
      <c r="U68" s="219"/>
      <c r="V68" s="219"/>
      <c r="W68" s="219"/>
      <c r="X68" s="219"/>
      <c r="Y68" s="219"/>
    </row>
    <row r="69" spans="12:25" x14ac:dyDescent="0.2">
      <c r="L69" s="219"/>
      <c r="M69" s="219"/>
      <c r="N69" s="219"/>
      <c r="O69" s="219"/>
      <c r="P69" s="219"/>
      <c r="Q69" s="219"/>
      <c r="R69" s="219"/>
      <c r="S69" s="219"/>
      <c r="T69" s="219"/>
      <c r="U69" s="219"/>
      <c r="V69" s="219"/>
      <c r="W69" s="219"/>
      <c r="X69" s="219"/>
      <c r="Y69" s="219"/>
    </row>
    <row r="70" spans="12:25" x14ac:dyDescent="0.2">
      <c r="L70" s="219"/>
      <c r="M70" s="219"/>
      <c r="N70" s="219"/>
      <c r="O70" s="219"/>
      <c r="P70" s="219"/>
      <c r="Q70" s="219"/>
      <c r="R70" s="219"/>
      <c r="S70" s="219"/>
      <c r="T70" s="219"/>
      <c r="U70" s="219"/>
      <c r="V70" s="219"/>
      <c r="W70" s="219"/>
      <c r="X70" s="219"/>
      <c r="Y70" s="219"/>
    </row>
    <row r="71" spans="12:25" x14ac:dyDescent="0.2">
      <c r="L71" s="219"/>
      <c r="M71" s="219"/>
      <c r="N71" s="219"/>
      <c r="O71" s="219"/>
      <c r="P71" s="219"/>
      <c r="Q71" s="219"/>
      <c r="R71" s="219"/>
      <c r="S71" s="219"/>
      <c r="T71" s="219"/>
      <c r="U71" s="219"/>
      <c r="V71" s="219"/>
      <c r="W71" s="219"/>
      <c r="X71" s="219"/>
      <c r="Y71" s="219"/>
    </row>
    <row r="72" spans="12:25" x14ac:dyDescent="0.2">
      <c r="L72" s="219"/>
      <c r="M72" s="219"/>
      <c r="N72" s="219"/>
      <c r="O72" s="219"/>
      <c r="P72" s="219"/>
      <c r="Q72" s="219"/>
      <c r="R72" s="219"/>
      <c r="S72" s="219"/>
      <c r="T72" s="219"/>
      <c r="U72" s="219"/>
      <c r="V72" s="219"/>
      <c r="W72" s="219"/>
      <c r="X72" s="219"/>
      <c r="Y72" s="219"/>
    </row>
  </sheetData>
  <pageMargins left="0.75" right="0.75" top="1" bottom="1" header="0.5" footer="0.5"/>
  <pageSetup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54A6868C-6CCD-4BE2-9316-9C51FF5D1454}">
          <x14:formula1>
            <xm:f>'\Users\bobsummerwill\Library\Containers\com.microsoft.Excel\Data\Documents\C:\Users\aliso\ETC Cooperative Dropbox\ETC Cooperative\Business\Financial\Forecast\[2019 Forecast as at March 31, 2019.xlsx]Forecast Input Sheet'!#REF!</xm:f>
          </x14:formula1>
          <xm:sqref>G1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DECE-4F75-4908-830E-D6C901C3A5B0}">
  <sheetPr>
    <tabColor rgb="FF00B0F0"/>
  </sheetPr>
  <dimension ref="A5:H34"/>
  <sheetViews>
    <sheetView showGridLines="0" topLeftCell="A7" workbookViewId="0">
      <selection activeCell="I21" sqref="I21"/>
    </sheetView>
  </sheetViews>
  <sheetFormatPr defaultColWidth="6.77734375" defaultRowHeight="12.75" x14ac:dyDescent="0.2"/>
  <cols>
    <col min="1" max="1" width="0.33203125" style="173" customWidth="1"/>
    <col min="2" max="2" width="4.44140625" style="173" customWidth="1"/>
    <col min="3" max="3" width="2" style="173" customWidth="1"/>
    <col min="4" max="4" width="29.44140625" style="173" customWidth="1"/>
    <col min="5" max="6" width="14.44140625" style="173" customWidth="1"/>
    <col min="7" max="7" width="13.109375" style="173" customWidth="1"/>
    <col min="8" max="16384" width="6.77734375" style="173"/>
  </cols>
  <sheetData>
    <row r="5" spans="1:8" ht="20.100000000000001" customHeight="1" x14ac:dyDescent="0.2">
      <c r="D5" s="174" t="s">
        <v>415</v>
      </c>
      <c r="E5" s="174"/>
      <c r="F5" s="174"/>
      <c r="G5" s="174"/>
    </row>
    <row r="6" spans="1:8" ht="20.100000000000001" customHeight="1" x14ac:dyDescent="0.2">
      <c r="D6" s="175"/>
      <c r="E6" s="176">
        <v>43738</v>
      </c>
      <c r="F6" s="177">
        <v>43465</v>
      </c>
      <c r="G6" s="177">
        <v>43100</v>
      </c>
      <c r="H6" s="178"/>
    </row>
    <row r="7" spans="1:8" ht="20.100000000000001" customHeight="1" x14ac:dyDescent="0.2">
      <c r="D7" s="175" t="s">
        <v>416</v>
      </c>
      <c r="E7" s="176"/>
      <c r="F7" s="177"/>
      <c r="G7" s="177"/>
      <c r="H7" s="178"/>
    </row>
    <row r="8" spans="1:8" ht="20.100000000000001" customHeight="1" x14ac:dyDescent="0.2">
      <c r="A8" s="173">
        <v>1</v>
      </c>
      <c r="D8" s="179" t="s">
        <v>417</v>
      </c>
      <c r="E8" s="180">
        <v>90300.65</v>
      </c>
      <c r="F8" s="181">
        <v>530268.44999999995</v>
      </c>
      <c r="G8" s="181">
        <v>0</v>
      </c>
      <c r="H8" s="178"/>
    </row>
    <row r="9" spans="1:8" ht="20.100000000000001" customHeight="1" x14ac:dyDescent="0.2">
      <c r="D9" s="179" t="s">
        <v>418</v>
      </c>
      <c r="E9" s="180">
        <v>154363.35999999999</v>
      </c>
      <c r="F9" s="181">
        <v>154363.35999999999</v>
      </c>
      <c r="G9" s="181">
        <v>0</v>
      </c>
      <c r="H9" s="178"/>
    </row>
    <row r="10" spans="1:8" ht="20.100000000000001" customHeight="1" x14ac:dyDescent="0.2">
      <c r="D10" s="179" t="s">
        <v>419</v>
      </c>
      <c r="E10" s="180">
        <v>7057.27</v>
      </c>
      <c r="F10" s="181">
        <v>7057.27</v>
      </c>
      <c r="G10" s="181">
        <v>0</v>
      </c>
      <c r="H10" s="178"/>
    </row>
    <row r="11" spans="1:8" ht="20.100000000000001" customHeight="1" x14ac:dyDescent="0.2">
      <c r="D11" s="179" t="s">
        <v>420</v>
      </c>
      <c r="E11" s="180">
        <v>129984.65</v>
      </c>
      <c r="F11" s="181">
        <v>-6729.03</v>
      </c>
      <c r="G11" s="181">
        <v>371504.67</v>
      </c>
      <c r="H11" s="178"/>
    </row>
    <row r="12" spans="1:8" ht="20.100000000000001" customHeight="1" x14ac:dyDescent="0.2">
      <c r="A12" s="173">
        <v>2</v>
      </c>
      <c r="D12" s="179" t="s">
        <v>421</v>
      </c>
      <c r="E12" s="180">
        <v>119923.2</v>
      </c>
      <c r="F12" s="181">
        <v>0</v>
      </c>
      <c r="G12" s="181">
        <v>0</v>
      </c>
      <c r="H12" s="178"/>
    </row>
    <row r="13" spans="1:8" ht="20.100000000000001" customHeight="1" x14ac:dyDescent="0.2">
      <c r="A13" s="173">
        <v>4</v>
      </c>
      <c r="D13" s="175" t="s">
        <v>422</v>
      </c>
      <c r="E13" s="182">
        <f>SUM(E8:E12)</f>
        <v>501629.12999999995</v>
      </c>
      <c r="F13" s="183">
        <f>SUM(F8:F12)</f>
        <v>684960.04999999993</v>
      </c>
      <c r="G13" s="183">
        <f>SUM(G8:G12)</f>
        <v>371504.67</v>
      </c>
      <c r="H13" s="178"/>
    </row>
    <row r="14" spans="1:8" ht="20.100000000000001" customHeight="1" x14ac:dyDescent="0.2">
      <c r="D14" s="184"/>
      <c r="E14" s="180"/>
      <c r="F14" s="181"/>
      <c r="G14" s="181"/>
      <c r="H14" s="178"/>
    </row>
    <row r="15" spans="1:8" ht="20.100000000000001" customHeight="1" x14ac:dyDescent="0.2">
      <c r="D15" s="175" t="s">
        <v>423</v>
      </c>
      <c r="E15" s="180"/>
      <c r="F15" s="181"/>
      <c r="G15" s="181"/>
      <c r="H15" s="178"/>
    </row>
    <row r="16" spans="1:8" ht="20.100000000000001" customHeight="1" x14ac:dyDescent="0.2">
      <c r="A16" s="173">
        <v>5</v>
      </c>
      <c r="D16" s="179" t="s">
        <v>424</v>
      </c>
      <c r="E16" s="180">
        <v>29919.58</v>
      </c>
      <c r="F16" s="181">
        <v>20305.43</v>
      </c>
      <c r="G16" s="181">
        <v>0</v>
      </c>
      <c r="H16" s="178"/>
    </row>
    <row r="17" spans="1:8" ht="20.100000000000001" customHeight="1" x14ac:dyDescent="0.2">
      <c r="D17" s="179" t="s">
        <v>425</v>
      </c>
      <c r="E17" s="180">
        <v>11120.05</v>
      </c>
      <c r="F17" s="181">
        <v>3022.48</v>
      </c>
      <c r="G17" s="181">
        <v>131864.19</v>
      </c>
      <c r="H17" s="178"/>
    </row>
    <row r="18" spans="1:8" ht="20.100000000000001" customHeight="1" x14ac:dyDescent="0.2">
      <c r="D18" s="185" t="s">
        <v>426</v>
      </c>
      <c r="E18" s="182">
        <f>E16+E17</f>
        <v>41039.630000000005</v>
      </c>
      <c r="F18" s="183">
        <f>F16+F17</f>
        <v>23327.91</v>
      </c>
      <c r="G18" s="183">
        <f>G16+G17</f>
        <v>131864.19</v>
      </c>
      <c r="H18" s="178"/>
    </row>
    <row r="19" spans="1:8" ht="20.100000000000001" customHeight="1" x14ac:dyDescent="0.3">
      <c r="D19" s="179"/>
      <c r="E19" s="186"/>
      <c r="F19" s="187"/>
      <c r="G19" s="187"/>
      <c r="H19" s="178"/>
    </row>
    <row r="20" spans="1:8" ht="20.100000000000001" customHeight="1" x14ac:dyDescent="0.3">
      <c r="D20" s="185" t="s">
        <v>427</v>
      </c>
      <c r="E20" s="186"/>
      <c r="F20" s="187"/>
      <c r="G20" s="187"/>
      <c r="H20" s="178"/>
    </row>
    <row r="21" spans="1:8" ht="20.100000000000001" customHeight="1" x14ac:dyDescent="0.2">
      <c r="D21" s="179" t="s">
        <v>428</v>
      </c>
      <c r="E21" s="180">
        <v>661632.14</v>
      </c>
      <c r="F21" s="181">
        <v>239640.48</v>
      </c>
      <c r="G21" s="181">
        <v>0</v>
      </c>
      <c r="H21" s="188"/>
    </row>
    <row r="22" spans="1:8" ht="20.100000000000001" customHeight="1" x14ac:dyDescent="0.2">
      <c r="D22" s="179" t="s">
        <v>429</v>
      </c>
      <c r="E22" s="180">
        <v>-201042.63999999998</v>
      </c>
      <c r="F22" s="181">
        <v>421991.66000000003</v>
      </c>
      <c r="G22" s="181">
        <v>239640.47999999998</v>
      </c>
      <c r="H22" s="188"/>
    </row>
    <row r="23" spans="1:8" ht="20.100000000000001" customHeight="1" x14ac:dyDescent="0.2">
      <c r="D23" s="185" t="s">
        <v>430</v>
      </c>
      <c r="E23" s="182">
        <f>E21+E22</f>
        <v>460589.5</v>
      </c>
      <c r="F23" s="183">
        <f>F21+F22</f>
        <v>661632.14</v>
      </c>
      <c r="G23" s="183">
        <f>G21+G22</f>
        <v>239640.47999999998</v>
      </c>
      <c r="H23" s="188"/>
    </row>
    <row r="24" spans="1:8" ht="20.100000000000001" customHeight="1" x14ac:dyDescent="0.3">
      <c r="D24" s="189"/>
      <c r="E24" s="186"/>
      <c r="F24" s="187"/>
      <c r="G24" s="187"/>
      <c r="H24" s="178"/>
    </row>
    <row r="25" spans="1:8" ht="20.100000000000001" customHeight="1" x14ac:dyDescent="0.2">
      <c r="A25" s="173">
        <v>6</v>
      </c>
      <c r="D25" s="175" t="s">
        <v>431</v>
      </c>
      <c r="E25" s="182">
        <f>E18+E23</f>
        <v>501629.13</v>
      </c>
      <c r="F25" s="183">
        <f>F18+F23</f>
        <v>684960.05</v>
      </c>
      <c r="G25" s="183">
        <f>G18+G23</f>
        <v>371504.67</v>
      </c>
      <c r="H25" s="178"/>
    </row>
    <row r="26" spans="1:8" ht="20.100000000000001" customHeight="1" x14ac:dyDescent="0.3">
      <c r="D26" s="184"/>
      <c r="E26" s="186"/>
      <c r="F26" s="187"/>
      <c r="G26" s="187"/>
      <c r="H26" s="178"/>
    </row>
    <row r="27" spans="1:8" ht="20.100000000000001" customHeight="1" x14ac:dyDescent="0.2">
      <c r="D27" s="190" t="s">
        <v>432</v>
      </c>
      <c r="E27" s="191">
        <v>75973.171816108486</v>
      </c>
      <c r="F27" s="192">
        <v>81429.927353877982</v>
      </c>
      <c r="G27" s="192">
        <v>0</v>
      </c>
      <c r="H27" s="178"/>
    </row>
    <row r="28" spans="1:8" ht="20.100000000000001" customHeight="1" x14ac:dyDescent="0.2">
      <c r="D28" s="175" t="s">
        <v>433</v>
      </c>
      <c r="E28" s="193">
        <f>E8+E27</f>
        <v>166273.82181610848</v>
      </c>
      <c r="F28" s="194">
        <f t="shared" ref="F28:G28" si="0">F8+F27</f>
        <v>611698.37735387799</v>
      </c>
      <c r="G28" s="194">
        <f t="shared" si="0"/>
        <v>0</v>
      </c>
      <c r="H28" s="178"/>
    </row>
    <row r="29" spans="1:8" x14ac:dyDescent="0.2">
      <c r="E29" s="178"/>
      <c r="F29" s="178"/>
      <c r="G29" s="178"/>
      <c r="H29" s="178"/>
    </row>
    <row r="30" spans="1:8" ht="14.25" x14ac:dyDescent="0.2">
      <c r="C30" s="195">
        <v>1</v>
      </c>
      <c r="D30" s="196" t="s">
        <v>434</v>
      </c>
      <c r="E30" s="178"/>
      <c r="F30" s="178"/>
      <c r="G30" s="178"/>
      <c r="H30" s="178"/>
    </row>
    <row r="31" spans="1:8" ht="14.25" x14ac:dyDescent="0.2">
      <c r="C31" s="195">
        <v>2</v>
      </c>
      <c r="D31" s="196" t="s">
        <v>435</v>
      </c>
      <c r="E31" s="178"/>
      <c r="F31" s="178"/>
      <c r="G31" s="178"/>
      <c r="H31" s="178"/>
    </row>
    <row r="32" spans="1:8" ht="14.25" x14ac:dyDescent="0.2">
      <c r="C32" s="195">
        <v>3</v>
      </c>
      <c r="D32" s="196" t="s">
        <v>436</v>
      </c>
      <c r="E32" s="178"/>
      <c r="F32" s="178"/>
      <c r="G32" s="178"/>
      <c r="H32" s="178"/>
    </row>
    <row r="33" spans="3:8" ht="14.25" x14ac:dyDescent="0.2">
      <c r="C33" s="195"/>
      <c r="D33" s="196"/>
      <c r="E33" s="178"/>
      <c r="F33" s="178"/>
      <c r="G33" s="178"/>
      <c r="H33" s="178"/>
    </row>
    <row r="34" spans="3:8" ht="14.25" x14ac:dyDescent="0.2">
      <c r="C34" s="195"/>
      <c r="D34" s="196"/>
      <c r="E34" s="178"/>
      <c r="F34" s="178"/>
      <c r="G34" s="178"/>
      <c r="H34" s="17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B194-B6F8-4C2E-9EF0-BC4103504B77}">
  <dimension ref="A1:J32"/>
  <sheetViews>
    <sheetView topLeftCell="A10" workbookViewId="0">
      <selection activeCell="E35" sqref="E35"/>
    </sheetView>
  </sheetViews>
  <sheetFormatPr defaultColWidth="8.77734375" defaultRowHeight="16.5" x14ac:dyDescent="0.3"/>
  <cols>
    <col min="1" max="1" width="24.109375" style="46" customWidth="1"/>
    <col min="2" max="2" width="14.77734375" style="46" customWidth="1"/>
    <col min="3" max="3" width="11.109375" style="46" customWidth="1"/>
    <col min="4" max="4" width="13.33203125" style="46" customWidth="1"/>
    <col min="5" max="6" width="8.77734375" style="46"/>
    <col min="7" max="7" width="12.77734375" style="46" customWidth="1"/>
    <col min="8" max="9" width="8.77734375" style="46"/>
    <col min="10" max="10" width="13.33203125" style="46" customWidth="1"/>
    <col min="11" max="16384" width="8.77734375" style="46"/>
  </cols>
  <sheetData>
    <row r="1" spans="1:10" ht="17.25" thickBot="1" x14ac:dyDescent="0.35">
      <c r="A1" s="45" t="s">
        <v>64</v>
      </c>
      <c r="B1" s="45" t="s">
        <v>66</v>
      </c>
    </row>
    <row r="2" spans="1:10" ht="17.25" thickBot="1" x14ac:dyDescent="0.35">
      <c r="A2" s="47" t="s">
        <v>77</v>
      </c>
      <c r="B2" s="48">
        <v>0</v>
      </c>
    </row>
    <row r="3" spans="1:10" ht="17.25" thickBot="1" x14ac:dyDescent="0.35">
      <c r="A3" s="47" t="s">
        <v>65</v>
      </c>
      <c r="B3" s="48">
        <v>0.1</v>
      </c>
    </row>
    <row r="4" spans="1:10" ht="17.25" thickBot="1" x14ac:dyDescent="0.35">
      <c r="A4" s="47" t="s">
        <v>78</v>
      </c>
      <c r="B4" s="48">
        <v>0.25</v>
      </c>
    </row>
    <row r="6" spans="1:10" x14ac:dyDescent="0.3">
      <c r="A6" s="45" t="s">
        <v>79</v>
      </c>
      <c r="B6" s="49">
        <v>9446000</v>
      </c>
      <c r="C6" s="50" t="s">
        <v>80</v>
      </c>
    </row>
    <row r="7" spans="1:10" x14ac:dyDescent="0.3">
      <c r="B7" s="51">
        <f>1%/12</f>
        <v>8.3333333333333339E-4</v>
      </c>
      <c r="C7" s="46" t="s">
        <v>108</v>
      </c>
    </row>
    <row r="8" spans="1:10" ht="17.25" thickBot="1" x14ac:dyDescent="0.35">
      <c r="B8" s="51"/>
    </row>
    <row r="9" spans="1:10" ht="17.25" thickBot="1" x14ac:dyDescent="0.35">
      <c r="A9" s="277" t="s">
        <v>105</v>
      </c>
      <c r="B9" s="278"/>
      <c r="C9" s="278"/>
      <c r="D9" s="278"/>
      <c r="E9" s="278"/>
      <c r="F9" s="278"/>
      <c r="G9" s="278"/>
      <c r="H9" s="278"/>
      <c r="I9" s="278"/>
      <c r="J9" s="279"/>
    </row>
    <row r="11" spans="1:10" x14ac:dyDescent="0.3">
      <c r="B11" s="46" t="s">
        <v>104</v>
      </c>
      <c r="C11" s="276" t="s">
        <v>70</v>
      </c>
      <c r="D11" s="276"/>
      <c r="F11" s="276" t="s">
        <v>65</v>
      </c>
      <c r="G11" s="276"/>
      <c r="I11" s="276" t="s">
        <v>78</v>
      </c>
      <c r="J11" s="276"/>
    </row>
    <row r="13" spans="1:10" x14ac:dyDescent="0.3">
      <c r="A13" s="46" t="s">
        <v>81</v>
      </c>
      <c r="B13" s="52">
        <v>4.5</v>
      </c>
      <c r="C13" s="53" t="s">
        <v>111</v>
      </c>
      <c r="D13" s="53" t="s">
        <v>110</v>
      </c>
      <c r="F13" s="53" t="s">
        <v>111</v>
      </c>
      <c r="G13" s="53" t="s">
        <v>110</v>
      </c>
      <c r="I13" s="53" t="s">
        <v>111</v>
      </c>
      <c r="J13" s="53" t="s">
        <v>110</v>
      </c>
    </row>
    <row r="14" spans="1:10" x14ac:dyDescent="0.3">
      <c r="B14" s="54"/>
    </row>
    <row r="15" spans="1:10" x14ac:dyDescent="0.3">
      <c r="A15" s="46" t="s">
        <v>71</v>
      </c>
      <c r="B15" s="55">
        <f>B13*50%</f>
        <v>2.25</v>
      </c>
      <c r="C15" s="151">
        <f>75%/3</f>
        <v>0.25</v>
      </c>
      <c r="D15" s="56">
        <f>B15*C15</f>
        <v>0.5625</v>
      </c>
      <c r="F15" s="151">
        <f>25%/3</f>
        <v>8.3333333333333329E-2</v>
      </c>
      <c r="G15" s="56">
        <f>F15*B15</f>
        <v>0.1875</v>
      </c>
      <c r="I15" s="56">
        <f>B15*0%</f>
        <v>0</v>
      </c>
      <c r="J15" s="46">
        <f>B15*I15</f>
        <v>0</v>
      </c>
    </row>
    <row r="16" spans="1:10" x14ac:dyDescent="0.3">
      <c r="A16" s="46" t="s">
        <v>72</v>
      </c>
      <c r="B16" s="55">
        <f>B13*75%</f>
        <v>3.375</v>
      </c>
      <c r="C16" s="151">
        <f>75%/3</f>
        <v>0.25</v>
      </c>
      <c r="D16" s="56">
        <f t="shared" ref="D16:D25" si="0">B16*C16</f>
        <v>0.84375</v>
      </c>
      <c r="F16" s="151">
        <f>25%/3</f>
        <v>8.3333333333333329E-2</v>
      </c>
      <c r="G16" s="56">
        <f t="shared" ref="G16:G25" si="1">F16*B16</f>
        <v>0.28125</v>
      </c>
      <c r="J16" s="46">
        <f t="shared" ref="J16:J25" si="2">B16*I16</f>
        <v>0</v>
      </c>
    </row>
    <row r="17" spans="1:10" x14ac:dyDescent="0.3">
      <c r="A17" s="46" t="s">
        <v>73</v>
      </c>
      <c r="B17" s="55">
        <f>B13*100%</f>
        <v>4.5</v>
      </c>
      <c r="C17" s="151">
        <f>75%/3</f>
        <v>0.25</v>
      </c>
      <c r="D17" s="56">
        <f t="shared" si="0"/>
        <v>1.125</v>
      </c>
      <c r="F17" s="151">
        <f>25%/3</f>
        <v>8.3333333333333329E-2</v>
      </c>
      <c r="G17" s="56">
        <f t="shared" si="1"/>
        <v>0.375</v>
      </c>
      <c r="J17" s="46">
        <f t="shared" si="2"/>
        <v>0</v>
      </c>
    </row>
    <row r="18" spans="1:10" x14ac:dyDescent="0.3">
      <c r="B18" s="55"/>
      <c r="C18" s="151"/>
      <c r="D18" s="56">
        <f t="shared" si="0"/>
        <v>0</v>
      </c>
      <c r="F18" s="151"/>
      <c r="G18" s="56">
        <f t="shared" si="1"/>
        <v>0</v>
      </c>
      <c r="J18" s="46">
        <f t="shared" si="2"/>
        <v>0</v>
      </c>
    </row>
    <row r="19" spans="1:10" x14ac:dyDescent="0.3">
      <c r="A19" s="46" t="s">
        <v>67</v>
      </c>
      <c r="B19" s="55">
        <f>B13*1.1</f>
        <v>4.95</v>
      </c>
      <c r="C19" s="151">
        <f>25%/3</f>
        <v>8.3333333333333329E-2</v>
      </c>
      <c r="D19" s="56">
        <f t="shared" si="0"/>
        <v>0.41249999999999998</v>
      </c>
      <c r="F19" s="151">
        <f>65%/3</f>
        <v>0.21666666666666667</v>
      </c>
      <c r="G19" s="56">
        <f t="shared" si="1"/>
        <v>1.0725</v>
      </c>
      <c r="I19" s="46">
        <f>50%/3</f>
        <v>0.16666666666666666</v>
      </c>
      <c r="J19" s="46">
        <f t="shared" si="2"/>
        <v>0.82499999999999996</v>
      </c>
    </row>
    <row r="20" spans="1:10" x14ac:dyDescent="0.3">
      <c r="A20" s="46" t="s">
        <v>68</v>
      </c>
      <c r="B20" s="55">
        <f>B13*1.25</f>
        <v>5.625</v>
      </c>
      <c r="C20" s="151">
        <f>25%/3</f>
        <v>8.3333333333333329E-2</v>
      </c>
      <c r="D20" s="56">
        <f t="shared" si="0"/>
        <v>0.46875</v>
      </c>
      <c r="F20" s="151">
        <f>65%/3</f>
        <v>0.21666666666666667</v>
      </c>
      <c r="G20" s="56">
        <f t="shared" si="1"/>
        <v>1.21875</v>
      </c>
      <c r="I20" s="46">
        <f>50%/3</f>
        <v>0.16666666666666666</v>
      </c>
      <c r="J20" s="46">
        <f t="shared" si="2"/>
        <v>0.9375</v>
      </c>
    </row>
    <row r="21" spans="1:10" x14ac:dyDescent="0.3">
      <c r="A21" s="46" t="s">
        <v>69</v>
      </c>
      <c r="B21" s="55">
        <f>B13*(150%)</f>
        <v>6.75</v>
      </c>
      <c r="C21" s="151">
        <f>25%/3</f>
        <v>8.3333333333333329E-2</v>
      </c>
      <c r="D21" s="56">
        <f t="shared" si="0"/>
        <v>0.5625</v>
      </c>
      <c r="F21" s="151">
        <f>65%/3</f>
        <v>0.21666666666666667</v>
      </c>
      <c r="G21" s="56">
        <f t="shared" si="1"/>
        <v>1.4625000000000001</v>
      </c>
      <c r="I21" s="46">
        <f>50%/3</f>
        <v>0.16666666666666666</v>
      </c>
      <c r="J21" s="46">
        <f t="shared" si="2"/>
        <v>1.125</v>
      </c>
    </row>
    <row r="22" spans="1:10" x14ac:dyDescent="0.3">
      <c r="B22" s="55"/>
      <c r="C22" s="151"/>
      <c r="D22" s="56">
        <f t="shared" si="0"/>
        <v>0</v>
      </c>
      <c r="F22" s="151"/>
      <c r="G22" s="56">
        <f t="shared" si="1"/>
        <v>0</v>
      </c>
      <c r="J22" s="46">
        <f t="shared" si="2"/>
        <v>0</v>
      </c>
    </row>
    <row r="23" spans="1:10" x14ac:dyDescent="0.3">
      <c r="A23" s="46" t="s">
        <v>74</v>
      </c>
      <c r="B23" s="55">
        <f>B13*2</f>
        <v>9</v>
      </c>
      <c r="C23" s="151">
        <v>0</v>
      </c>
      <c r="D23" s="56">
        <f t="shared" si="0"/>
        <v>0</v>
      </c>
      <c r="F23" s="151">
        <f>10%/3</f>
        <v>3.3333333333333333E-2</v>
      </c>
      <c r="G23" s="56">
        <f t="shared" si="1"/>
        <v>0.3</v>
      </c>
      <c r="I23" s="46">
        <f>50%/3</f>
        <v>0.16666666666666666</v>
      </c>
      <c r="J23" s="46">
        <f t="shared" si="2"/>
        <v>1.5</v>
      </c>
    </row>
    <row r="24" spans="1:10" x14ac:dyDescent="0.3">
      <c r="A24" s="46" t="s">
        <v>75</v>
      </c>
      <c r="B24" s="55">
        <f>B13*2.25</f>
        <v>10.125</v>
      </c>
      <c r="C24" s="151">
        <v>0</v>
      </c>
      <c r="D24" s="56">
        <f t="shared" si="0"/>
        <v>0</v>
      </c>
      <c r="F24" s="151">
        <f>10%/3</f>
        <v>3.3333333333333333E-2</v>
      </c>
      <c r="G24" s="56">
        <f t="shared" si="1"/>
        <v>0.33750000000000002</v>
      </c>
      <c r="I24" s="46">
        <f>50%/3</f>
        <v>0.16666666666666666</v>
      </c>
      <c r="J24" s="46">
        <f t="shared" si="2"/>
        <v>1.6875</v>
      </c>
    </row>
    <row r="25" spans="1:10" x14ac:dyDescent="0.3">
      <c r="A25" s="46" t="s">
        <v>76</v>
      </c>
      <c r="B25" s="55">
        <f>B13*2.5</f>
        <v>11.25</v>
      </c>
      <c r="C25" s="46">
        <v>0</v>
      </c>
      <c r="D25" s="56">
        <f t="shared" si="0"/>
        <v>0</v>
      </c>
      <c r="F25" s="151">
        <f>10%/3</f>
        <v>3.3333333333333333E-2</v>
      </c>
      <c r="G25" s="56">
        <f t="shared" si="1"/>
        <v>0.375</v>
      </c>
      <c r="I25" s="46">
        <f>50%/3</f>
        <v>0.16666666666666666</v>
      </c>
      <c r="J25" s="46">
        <f t="shared" si="2"/>
        <v>1.875</v>
      </c>
    </row>
    <row r="26" spans="1:10" x14ac:dyDescent="0.3">
      <c r="B26" s="57"/>
    </row>
    <row r="27" spans="1:10" ht="17.25" thickBot="1" x14ac:dyDescent="0.35">
      <c r="A27" s="58" t="s">
        <v>106</v>
      </c>
      <c r="B27" s="58"/>
      <c r="C27" s="58"/>
      <c r="D27" s="59">
        <f>SUM(D15:D25)</f>
        <v>3.9750000000000001</v>
      </c>
      <c r="E27" s="58"/>
      <c r="F27" s="58"/>
      <c r="G27" s="59">
        <f>SUM(G15:G25)</f>
        <v>5.61</v>
      </c>
      <c r="H27" s="58"/>
      <c r="I27" s="58"/>
      <c r="J27" s="59">
        <f>SUM(J15:J25)</f>
        <v>7.95</v>
      </c>
    </row>
    <row r="28" spans="1:10" ht="17.25" thickTop="1" x14ac:dyDescent="0.3">
      <c r="B28" s="51"/>
    </row>
    <row r="29" spans="1:10" x14ac:dyDescent="0.3">
      <c r="A29" s="46" t="s">
        <v>107</v>
      </c>
    </row>
    <row r="31" spans="1:10" ht="17.25" thickBot="1" x14ac:dyDescent="0.35">
      <c r="A31" s="60" t="s">
        <v>109</v>
      </c>
      <c r="B31" s="61"/>
      <c r="C31" s="61"/>
      <c r="D31" s="62">
        <f>D27*$B$6*$B$7</f>
        <v>31289.875000000004</v>
      </c>
      <c r="E31" s="62"/>
      <c r="F31" s="62"/>
      <c r="G31" s="62">
        <f>G27*$B$6*$B$7</f>
        <v>44160.05</v>
      </c>
      <c r="H31" s="62"/>
      <c r="I31" s="62"/>
      <c r="J31" s="62">
        <f>J27*$B$6*$B$7</f>
        <v>62579.750000000007</v>
      </c>
    </row>
    <row r="32" spans="1:10" ht="17.25" thickTop="1" x14ac:dyDescent="0.3"/>
  </sheetData>
  <mergeCells count="4">
    <mergeCell ref="C11:D11"/>
    <mergeCell ref="F11:G11"/>
    <mergeCell ref="I11:J11"/>
    <mergeCell ref="A9:J9"/>
  </mergeCells>
  <phoneticPr fontId="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B720-C86F-4F29-B4F7-1AC5C155AB6B}">
  <dimension ref="A3:E100"/>
  <sheetViews>
    <sheetView topLeftCell="A28" workbookViewId="0">
      <selection activeCell="G27" sqref="G27:I34"/>
    </sheetView>
  </sheetViews>
  <sheetFormatPr defaultColWidth="8.77734375" defaultRowHeight="16.5" x14ac:dyDescent="0.3"/>
  <cols>
    <col min="2" max="2" width="40" customWidth="1"/>
    <col min="3" max="3" width="13.44140625" customWidth="1"/>
    <col min="4" max="4" width="11" customWidth="1"/>
  </cols>
  <sheetData>
    <row r="3" spans="1:4" x14ac:dyDescent="0.3">
      <c r="A3" t="s">
        <v>207</v>
      </c>
    </row>
    <row r="6" spans="1:4" x14ac:dyDescent="0.3">
      <c r="B6" s="45" t="s">
        <v>208</v>
      </c>
      <c r="C6" t="s">
        <v>209</v>
      </c>
      <c r="D6" t="s">
        <v>210</v>
      </c>
    </row>
    <row r="7" spans="1:4" x14ac:dyDescent="0.3">
      <c r="B7" t="s">
        <v>211</v>
      </c>
      <c r="C7" s="169" t="s">
        <v>212</v>
      </c>
      <c r="D7" t="s">
        <v>213</v>
      </c>
    </row>
    <row r="10" spans="1:4" x14ac:dyDescent="0.3">
      <c r="A10" t="s">
        <v>214</v>
      </c>
    </row>
    <row r="11" spans="1:4" ht="18" x14ac:dyDescent="0.35">
      <c r="B11" s="170"/>
      <c r="C11" s="171"/>
    </row>
    <row r="12" spans="1:4" ht="18" x14ac:dyDescent="0.35">
      <c r="B12" s="170" t="s">
        <v>215</v>
      </c>
      <c r="C12" s="171"/>
    </row>
    <row r="13" spans="1:4" x14ac:dyDescent="0.3">
      <c r="B13" t="s">
        <v>88</v>
      </c>
      <c r="C13" s="169" t="s">
        <v>216</v>
      </c>
    </row>
    <row r="14" spans="1:4" x14ac:dyDescent="0.3">
      <c r="B14" t="s">
        <v>205</v>
      </c>
      <c r="C14" s="169" t="s">
        <v>212</v>
      </c>
    </row>
    <row r="15" spans="1:4" x14ac:dyDescent="0.3">
      <c r="B15" t="s">
        <v>206</v>
      </c>
      <c r="C15" s="169" t="s">
        <v>217</v>
      </c>
    </row>
    <row r="16" spans="1:4" x14ac:dyDescent="0.3">
      <c r="B16" t="s">
        <v>135</v>
      </c>
      <c r="C16" s="169" t="s">
        <v>218</v>
      </c>
    </row>
    <row r="17" spans="1:3" x14ac:dyDescent="0.3">
      <c r="B17" t="s">
        <v>140</v>
      </c>
      <c r="C17" s="169" t="s">
        <v>219</v>
      </c>
    </row>
    <row r="18" spans="1:3" x14ac:dyDescent="0.3">
      <c r="B18" t="s">
        <v>52</v>
      </c>
      <c r="C18" s="169" t="s">
        <v>220</v>
      </c>
    </row>
    <row r="19" spans="1:3" x14ac:dyDescent="0.3">
      <c r="B19" t="s">
        <v>154</v>
      </c>
      <c r="C19" s="169" t="s">
        <v>221</v>
      </c>
    </row>
    <row r="20" spans="1:3" x14ac:dyDescent="0.3">
      <c r="B20" t="s">
        <v>171</v>
      </c>
      <c r="C20" s="169" t="s">
        <v>222</v>
      </c>
    </row>
    <row r="21" spans="1:3" x14ac:dyDescent="0.3">
      <c r="B21" s="169" t="s">
        <v>55</v>
      </c>
      <c r="C21" s="169" t="s">
        <v>223</v>
      </c>
    </row>
    <row r="22" spans="1:3" x14ac:dyDescent="0.3">
      <c r="B22" s="169"/>
    </row>
    <row r="23" spans="1:3" x14ac:dyDescent="0.3">
      <c r="B23" s="169"/>
    </row>
    <row r="24" spans="1:3" x14ac:dyDescent="0.3">
      <c r="A24" t="s">
        <v>442</v>
      </c>
    </row>
    <row r="25" spans="1:3" ht="18" x14ac:dyDescent="0.35">
      <c r="B25" s="170"/>
      <c r="C25" s="171"/>
    </row>
    <row r="26" spans="1:3" ht="18" x14ac:dyDescent="0.35">
      <c r="B26" s="170" t="s">
        <v>215</v>
      </c>
      <c r="C26" s="171"/>
    </row>
    <row r="27" spans="1:3" x14ac:dyDescent="0.3">
      <c r="B27" t="s">
        <v>440</v>
      </c>
      <c r="C27" s="169">
        <v>1</v>
      </c>
    </row>
    <row r="28" spans="1:3" x14ac:dyDescent="0.3">
      <c r="B28" t="s">
        <v>233</v>
      </c>
      <c r="C28" s="169">
        <v>2</v>
      </c>
    </row>
    <row r="29" spans="1:3" x14ac:dyDescent="0.3">
      <c r="B29" t="s">
        <v>238</v>
      </c>
      <c r="C29" s="169">
        <v>3</v>
      </c>
    </row>
    <row r="30" spans="1:3" x14ac:dyDescent="0.3">
      <c r="B30" t="s">
        <v>244</v>
      </c>
      <c r="C30" s="169">
        <v>4</v>
      </c>
    </row>
    <row r="31" spans="1:3" x14ac:dyDescent="0.3">
      <c r="B31" t="s">
        <v>251</v>
      </c>
      <c r="C31" s="169">
        <v>5</v>
      </c>
    </row>
    <row r="32" spans="1:3" x14ac:dyDescent="0.3">
      <c r="B32" t="s">
        <v>31</v>
      </c>
      <c r="C32" s="169">
        <v>6</v>
      </c>
    </row>
    <row r="33" spans="1:4" x14ac:dyDescent="0.3">
      <c r="B33" t="s">
        <v>256</v>
      </c>
      <c r="C33" s="169">
        <v>7</v>
      </c>
    </row>
    <row r="34" spans="1:4" x14ac:dyDescent="0.3">
      <c r="B34" t="s">
        <v>46</v>
      </c>
      <c r="C34" s="169">
        <v>8</v>
      </c>
    </row>
    <row r="35" spans="1:4" x14ac:dyDescent="0.3">
      <c r="B35" s="169" t="s">
        <v>88</v>
      </c>
      <c r="C35" s="169">
        <v>9</v>
      </c>
    </row>
    <row r="38" spans="1:4" x14ac:dyDescent="0.3">
      <c r="A38" t="s">
        <v>224</v>
      </c>
    </row>
    <row r="39" spans="1:4" ht="36" x14ac:dyDescent="0.35">
      <c r="B39" s="170" t="s">
        <v>225</v>
      </c>
      <c r="C39" s="171" t="s">
        <v>226</v>
      </c>
      <c r="D39" s="171" t="s">
        <v>227</v>
      </c>
    </row>
    <row r="40" spans="1:4" x14ac:dyDescent="0.3">
      <c r="B40" t="s">
        <v>228</v>
      </c>
      <c r="C40">
        <v>1000</v>
      </c>
      <c r="D40" t="s">
        <v>30</v>
      </c>
    </row>
    <row r="41" spans="1:4" x14ac:dyDescent="0.3">
      <c r="B41" t="s">
        <v>229</v>
      </c>
      <c r="C41">
        <v>1001</v>
      </c>
      <c r="D41" t="s">
        <v>30</v>
      </c>
    </row>
    <row r="42" spans="1:4" x14ac:dyDescent="0.3">
      <c r="B42" t="s">
        <v>230</v>
      </c>
      <c r="C42">
        <v>1002</v>
      </c>
      <c r="D42" t="s">
        <v>30</v>
      </c>
    </row>
    <row r="43" spans="1:4" x14ac:dyDescent="0.3">
      <c r="B43" t="s">
        <v>191</v>
      </c>
      <c r="C43">
        <v>1003</v>
      </c>
      <c r="D43" t="s">
        <v>30</v>
      </c>
    </row>
    <row r="44" spans="1:4" x14ac:dyDescent="0.3">
      <c r="B44" t="s">
        <v>231</v>
      </c>
      <c r="C44">
        <v>1004</v>
      </c>
      <c r="D44" t="s">
        <v>30</v>
      </c>
    </row>
    <row r="47" spans="1:4" ht="36" x14ac:dyDescent="0.35">
      <c r="B47" s="170" t="s">
        <v>225</v>
      </c>
      <c r="C47" s="171" t="s">
        <v>226</v>
      </c>
      <c r="D47" s="171" t="s">
        <v>227</v>
      </c>
    </row>
    <row r="48" spans="1:4" x14ac:dyDescent="0.3">
      <c r="B48" t="s">
        <v>232</v>
      </c>
      <c r="C48">
        <v>1100</v>
      </c>
      <c r="D48" t="s">
        <v>233</v>
      </c>
    </row>
    <row r="49" spans="2:5" x14ac:dyDescent="0.3">
      <c r="B49" t="s">
        <v>234</v>
      </c>
      <c r="C49">
        <v>1101</v>
      </c>
      <c r="D49" t="s">
        <v>233</v>
      </c>
    </row>
    <row r="50" spans="2:5" x14ac:dyDescent="0.3">
      <c r="B50" t="s">
        <v>235</v>
      </c>
      <c r="C50">
        <v>1102</v>
      </c>
      <c r="D50" t="s">
        <v>233</v>
      </c>
    </row>
    <row r="51" spans="2:5" x14ac:dyDescent="0.3">
      <c r="B51" t="s">
        <v>236</v>
      </c>
      <c r="C51">
        <v>1103</v>
      </c>
      <c r="D51" t="s">
        <v>233</v>
      </c>
    </row>
    <row r="54" spans="2:5" ht="36" x14ac:dyDescent="0.35">
      <c r="B54" s="170" t="s">
        <v>225</v>
      </c>
      <c r="C54" s="171" t="s">
        <v>226</v>
      </c>
      <c r="D54" s="171" t="s">
        <v>227</v>
      </c>
    </row>
    <row r="55" spans="2:5" x14ac:dyDescent="0.3">
      <c r="B55" t="s">
        <v>237</v>
      </c>
      <c r="C55">
        <v>1200</v>
      </c>
      <c r="D55" t="s">
        <v>238</v>
      </c>
      <c r="E55" t="s">
        <v>239</v>
      </c>
    </row>
    <row r="56" spans="2:5" x14ac:dyDescent="0.3">
      <c r="B56" t="s">
        <v>240</v>
      </c>
      <c r="C56">
        <v>1201</v>
      </c>
      <c r="D56" t="s">
        <v>238</v>
      </c>
    </row>
    <row r="57" spans="2:5" x14ac:dyDescent="0.3">
      <c r="B57" t="s">
        <v>241</v>
      </c>
      <c r="C57">
        <v>1202</v>
      </c>
      <c r="D57" t="s">
        <v>238</v>
      </c>
      <c r="E57" t="s">
        <v>242</v>
      </c>
    </row>
    <row r="63" spans="2:5" ht="36" x14ac:dyDescent="0.35">
      <c r="B63" s="170" t="s">
        <v>225</v>
      </c>
      <c r="C63" s="171" t="s">
        <v>226</v>
      </c>
      <c r="D63" s="171" t="s">
        <v>227</v>
      </c>
    </row>
    <row r="64" spans="2:5" x14ac:dyDescent="0.3">
      <c r="B64" t="s">
        <v>243</v>
      </c>
      <c r="C64">
        <v>1300</v>
      </c>
      <c r="D64" t="s">
        <v>244</v>
      </c>
    </row>
    <row r="65" spans="2:4" x14ac:dyDescent="0.3">
      <c r="B65" t="s">
        <v>245</v>
      </c>
      <c r="C65">
        <v>1301</v>
      </c>
      <c r="D65" t="s">
        <v>244</v>
      </c>
    </row>
    <row r="66" spans="2:4" x14ac:dyDescent="0.3">
      <c r="B66" t="s">
        <v>246</v>
      </c>
      <c r="C66">
        <v>1302</v>
      </c>
      <c r="D66" t="s">
        <v>244</v>
      </c>
    </row>
    <row r="67" spans="2:4" x14ac:dyDescent="0.3">
      <c r="B67" t="s">
        <v>247</v>
      </c>
      <c r="C67">
        <v>1303</v>
      </c>
      <c r="D67" t="s">
        <v>244</v>
      </c>
    </row>
    <row r="68" spans="2:4" x14ac:dyDescent="0.3">
      <c r="B68" t="s">
        <v>248</v>
      </c>
      <c r="C68">
        <v>1304</v>
      </c>
      <c r="D68" t="s">
        <v>244</v>
      </c>
    </row>
    <row r="69" spans="2:4" x14ac:dyDescent="0.3">
      <c r="B69" t="s">
        <v>249</v>
      </c>
      <c r="C69">
        <v>1305</v>
      </c>
      <c r="D69" t="s">
        <v>244</v>
      </c>
    </row>
    <row r="70" spans="2:4" x14ac:dyDescent="0.3">
      <c r="B70" s="45"/>
    </row>
    <row r="71" spans="2:4" ht="36" x14ac:dyDescent="0.35">
      <c r="B71" s="170" t="s">
        <v>225</v>
      </c>
      <c r="C71" s="171" t="s">
        <v>226</v>
      </c>
      <c r="D71" s="171" t="s">
        <v>227</v>
      </c>
    </row>
    <row r="72" spans="2:4" x14ac:dyDescent="0.3">
      <c r="B72" t="s">
        <v>250</v>
      </c>
      <c r="C72">
        <v>1400</v>
      </c>
      <c r="D72" t="s">
        <v>251</v>
      </c>
    </row>
    <row r="73" spans="2:4" x14ac:dyDescent="0.3">
      <c r="B73" t="s">
        <v>53</v>
      </c>
      <c r="C73">
        <v>1401</v>
      </c>
      <c r="D73" t="s">
        <v>251</v>
      </c>
    </row>
    <row r="74" spans="2:4" x14ac:dyDescent="0.3">
      <c r="B74" t="s">
        <v>252</v>
      </c>
      <c r="C74">
        <v>1402</v>
      </c>
      <c r="D74" t="s">
        <v>251</v>
      </c>
    </row>
    <row r="75" spans="2:4" x14ac:dyDescent="0.3">
      <c r="B75" t="s">
        <v>253</v>
      </c>
      <c r="C75">
        <v>1403</v>
      </c>
      <c r="D75" t="s">
        <v>251</v>
      </c>
    </row>
    <row r="76" spans="2:4" x14ac:dyDescent="0.3">
      <c r="B76" t="s">
        <v>161</v>
      </c>
      <c r="C76">
        <v>1404</v>
      </c>
      <c r="D76" t="s">
        <v>251</v>
      </c>
    </row>
    <row r="77" spans="2:4" x14ac:dyDescent="0.3">
      <c r="B77" t="s">
        <v>406</v>
      </c>
      <c r="C77">
        <v>1405</v>
      </c>
      <c r="D77" t="s">
        <v>251</v>
      </c>
    </row>
    <row r="78" spans="2:4" x14ac:dyDescent="0.3">
      <c r="B78" t="s">
        <v>414</v>
      </c>
      <c r="C78">
        <v>1406</v>
      </c>
      <c r="D78" t="s">
        <v>251</v>
      </c>
    </row>
    <row r="79" spans="2:4" x14ac:dyDescent="0.3">
      <c r="B79" t="s">
        <v>46</v>
      </c>
      <c r="C79">
        <v>1407</v>
      </c>
      <c r="D79" t="s">
        <v>251</v>
      </c>
    </row>
    <row r="81" spans="1:4" ht="36" x14ac:dyDescent="0.35">
      <c r="B81" s="170" t="s">
        <v>225</v>
      </c>
      <c r="C81" s="171" t="s">
        <v>226</v>
      </c>
      <c r="D81" s="171" t="s">
        <v>227</v>
      </c>
    </row>
    <row r="82" spans="1:4" x14ac:dyDescent="0.3">
      <c r="B82" t="s">
        <v>254</v>
      </c>
      <c r="C82">
        <v>1500</v>
      </c>
      <c r="D82" t="s">
        <v>31</v>
      </c>
    </row>
    <row r="83" spans="1:4" x14ac:dyDescent="0.3">
      <c r="B83" t="s">
        <v>255</v>
      </c>
      <c r="C83">
        <v>1501</v>
      </c>
      <c r="D83" t="s">
        <v>31</v>
      </c>
    </row>
    <row r="84" spans="1:4" x14ac:dyDescent="0.3">
      <c r="B84" t="s">
        <v>256</v>
      </c>
      <c r="C84">
        <v>1502</v>
      </c>
      <c r="D84" t="s">
        <v>256</v>
      </c>
    </row>
    <row r="87" spans="1:4" ht="36" x14ac:dyDescent="0.35">
      <c r="B87" s="170" t="s">
        <v>225</v>
      </c>
      <c r="C87" s="171" t="s">
        <v>226</v>
      </c>
      <c r="D87" s="171" t="s">
        <v>227</v>
      </c>
    </row>
    <row r="88" spans="1:4" x14ac:dyDescent="0.3">
      <c r="B88" t="s">
        <v>257</v>
      </c>
      <c r="C88">
        <v>1600</v>
      </c>
      <c r="D88" t="s">
        <v>46</v>
      </c>
    </row>
    <row r="89" spans="1:4" x14ac:dyDescent="0.3">
      <c r="B89" t="s">
        <v>258</v>
      </c>
      <c r="C89">
        <v>1601</v>
      </c>
      <c r="D89" t="s">
        <v>46</v>
      </c>
    </row>
    <row r="90" spans="1:4" x14ac:dyDescent="0.3">
      <c r="B90" t="s">
        <v>259</v>
      </c>
      <c r="C90">
        <v>1602</v>
      </c>
      <c r="D90" t="s">
        <v>46</v>
      </c>
    </row>
    <row r="91" spans="1:4" x14ac:dyDescent="0.3">
      <c r="B91" t="s">
        <v>260</v>
      </c>
      <c r="C91">
        <v>1603</v>
      </c>
      <c r="D91" t="s">
        <v>46</v>
      </c>
    </row>
    <row r="92" spans="1:4" x14ac:dyDescent="0.3">
      <c r="B92" t="s">
        <v>261</v>
      </c>
      <c r="C92">
        <v>1604</v>
      </c>
      <c r="D92" t="s">
        <v>46</v>
      </c>
    </row>
    <row r="94" spans="1:4" ht="36" x14ac:dyDescent="0.35">
      <c r="A94" t="s">
        <v>88</v>
      </c>
      <c r="B94" s="170" t="s">
        <v>225</v>
      </c>
      <c r="C94" s="171" t="s">
        <v>226</v>
      </c>
      <c r="D94" s="171" t="s">
        <v>227</v>
      </c>
    </row>
    <row r="95" spans="1:4" x14ac:dyDescent="0.3">
      <c r="B95" t="s">
        <v>101</v>
      </c>
      <c r="C95">
        <v>5000</v>
      </c>
      <c r="D95" t="s">
        <v>88</v>
      </c>
    </row>
    <row r="96" spans="1:4" x14ac:dyDescent="0.3">
      <c r="B96" t="s">
        <v>115</v>
      </c>
      <c r="C96">
        <v>5001</v>
      </c>
      <c r="D96" t="s">
        <v>88</v>
      </c>
    </row>
    <row r="97" spans="2:4" x14ac:dyDescent="0.3">
      <c r="B97" t="s">
        <v>118</v>
      </c>
      <c r="C97">
        <v>5002</v>
      </c>
      <c r="D97" t="s">
        <v>88</v>
      </c>
    </row>
    <row r="98" spans="2:4" x14ac:dyDescent="0.3">
      <c r="B98" t="s">
        <v>262</v>
      </c>
      <c r="C98">
        <v>5003</v>
      </c>
      <c r="D98" t="s">
        <v>88</v>
      </c>
    </row>
    <row r="99" spans="2:4" x14ac:dyDescent="0.3">
      <c r="B99" t="s">
        <v>263</v>
      </c>
      <c r="C99">
        <v>5004</v>
      </c>
      <c r="D99" t="s">
        <v>88</v>
      </c>
    </row>
    <row r="100" spans="2:4" x14ac:dyDescent="0.3">
      <c r="B100" t="s">
        <v>46</v>
      </c>
      <c r="C100">
        <v>5005</v>
      </c>
      <c r="D100" t="s">
        <v>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9190-D31B-4408-B39D-1874F2AB9A7D}">
  <dimension ref="A6:J87"/>
  <sheetViews>
    <sheetView workbookViewId="0">
      <selection activeCell="F60" sqref="F60"/>
    </sheetView>
  </sheetViews>
  <sheetFormatPr defaultColWidth="8.77734375" defaultRowHeight="16.5" x14ac:dyDescent="0.3"/>
  <cols>
    <col min="2" max="2" width="11.44140625" customWidth="1"/>
    <col min="3" max="3" width="27.44140625" customWidth="1"/>
    <col min="4" max="4" width="11.33203125" customWidth="1"/>
    <col min="5" max="5" width="16.77734375" customWidth="1"/>
    <col min="6" max="7" width="10.44140625" customWidth="1"/>
    <col min="8" max="8" width="54.77734375" customWidth="1"/>
    <col min="9" max="9" width="11.33203125" customWidth="1"/>
  </cols>
  <sheetData>
    <row r="6" spans="1:10" x14ac:dyDescent="0.3">
      <c r="B6" s="172" t="s">
        <v>264</v>
      </c>
      <c r="C6" s="172" t="s">
        <v>265</v>
      </c>
      <c r="D6" s="172" t="s">
        <v>266</v>
      </c>
      <c r="E6" s="172" t="s">
        <v>267</v>
      </c>
      <c r="F6" s="172" t="s">
        <v>268</v>
      </c>
      <c r="G6" s="172" t="s">
        <v>227</v>
      </c>
      <c r="H6" s="172" t="s">
        <v>267</v>
      </c>
    </row>
    <row r="8" spans="1:10" x14ac:dyDescent="0.3">
      <c r="A8" s="169" t="s">
        <v>212</v>
      </c>
      <c r="B8" s="169" t="s">
        <v>212</v>
      </c>
      <c r="C8" t="str">
        <f>INDEX('Highlevel Master COA'!$B$13:$B$36,MATCH(COA!$B8,'Highlevel Master COA'!$C$13:$C$36,0))</f>
        <v>Overhead &amp; Management</v>
      </c>
      <c r="D8">
        <v>1000</v>
      </c>
      <c r="E8" t="str">
        <f>INDEX('Highlevel Master COA'!$B:$B,MATCH(COA!$D8,'Highlevel Master COA'!$C:$C,0))</f>
        <v>Travel-Flights</v>
      </c>
      <c r="F8" t="str">
        <f>CONCATENATE(A8,"-",B8,"-",D8)</f>
        <v>01-01-1000</v>
      </c>
      <c r="G8" t="str">
        <f>INDEX('Highlevel Master COA'!$D:$D,MATCH(COA!$D8,'Highlevel Master COA'!$C:$C,0))</f>
        <v>Travel</v>
      </c>
      <c r="H8" t="str">
        <f>CONCATENATE(C8,"-",E8)</f>
        <v>Overhead &amp; Management-Travel-Flights</v>
      </c>
      <c r="I8" t="s">
        <v>269</v>
      </c>
      <c r="J8" t="s">
        <v>270</v>
      </c>
    </row>
    <row r="9" spans="1:10" x14ac:dyDescent="0.3">
      <c r="A9" s="169" t="s">
        <v>212</v>
      </c>
      <c r="B9" s="169" t="s">
        <v>212</v>
      </c>
      <c r="C9" t="str">
        <f>INDEX('Highlevel Master COA'!$B$13:$B$36,MATCH(COA!$B9,'Highlevel Master COA'!$C$13:$C$36,0))</f>
        <v>Overhead &amp; Management</v>
      </c>
      <c r="D9">
        <v>1001</v>
      </c>
      <c r="E9" t="str">
        <f>INDEX('Highlevel Master COA'!$B:$B,MATCH(COA!$D9,'Highlevel Master COA'!$C:$C,0))</f>
        <v>Travel-Hotels</v>
      </c>
      <c r="F9" t="str">
        <f t="shared" ref="F9:F79" si="0">CONCATENATE(A9,"-",B9,"-",D9)</f>
        <v>01-01-1001</v>
      </c>
      <c r="G9" t="str">
        <f>INDEX('Highlevel Master COA'!$D:$D,MATCH(COA!$D9,'Highlevel Master COA'!$C:$C,0))</f>
        <v>Travel</v>
      </c>
      <c r="H9" t="str">
        <f t="shared" ref="H9:H44" si="1">CONCATENATE(C9,"-",E9)</f>
        <v>Overhead &amp; Management-Travel-Hotels</v>
      </c>
      <c r="I9" t="s">
        <v>271</v>
      </c>
      <c r="J9" t="s">
        <v>272</v>
      </c>
    </row>
    <row r="10" spans="1:10" x14ac:dyDescent="0.3">
      <c r="A10" s="169" t="s">
        <v>212</v>
      </c>
      <c r="B10" s="169" t="s">
        <v>212</v>
      </c>
      <c r="C10" t="str">
        <f>INDEX('Highlevel Master COA'!$B$13:$B$36,MATCH(COA!$B10,'Highlevel Master COA'!$C$13:$C$36,0))</f>
        <v>Overhead &amp; Management</v>
      </c>
      <c r="D10">
        <v>1002</v>
      </c>
      <c r="E10" t="str">
        <f>INDEX('Highlevel Master COA'!$B:$B,MATCH(COA!$D10,'Highlevel Master COA'!$C:$C,0))</f>
        <v>Meal &amp; Entertainment</v>
      </c>
      <c r="F10" t="str">
        <f t="shared" si="0"/>
        <v>01-01-1002</v>
      </c>
      <c r="G10" t="str">
        <f>INDEX('Highlevel Master COA'!$D:$D,MATCH(COA!$D10,'Highlevel Master COA'!$C:$C,0))</f>
        <v>Travel</v>
      </c>
      <c r="H10" t="str">
        <f t="shared" si="1"/>
        <v>Overhead &amp; Management-Meal &amp; Entertainment</v>
      </c>
      <c r="I10" t="s">
        <v>273</v>
      </c>
      <c r="J10" t="s">
        <v>274</v>
      </c>
    </row>
    <row r="11" spans="1:10" x14ac:dyDescent="0.3">
      <c r="A11" s="169" t="s">
        <v>212</v>
      </c>
      <c r="B11" s="169" t="s">
        <v>212</v>
      </c>
      <c r="C11" t="str">
        <f>INDEX('Highlevel Master COA'!$B$13:$B$36,MATCH(COA!$B11,'Highlevel Master COA'!$C$13:$C$36,0))</f>
        <v>Overhead &amp; Management</v>
      </c>
      <c r="D11">
        <v>1003</v>
      </c>
      <c r="E11" t="str">
        <f>INDEX('Highlevel Master COA'!$B:$B,MATCH(COA!$D11,'Highlevel Master COA'!$C:$C,0))</f>
        <v>Transportation</v>
      </c>
      <c r="F11" t="str">
        <f t="shared" si="0"/>
        <v>01-01-1003</v>
      </c>
      <c r="G11" t="str">
        <f>INDEX('Highlevel Master COA'!$D:$D,MATCH(COA!$D11,'Highlevel Master COA'!$C:$C,0))</f>
        <v>Travel</v>
      </c>
      <c r="H11" t="str">
        <f t="shared" si="1"/>
        <v>Overhead &amp; Management-Transportation</v>
      </c>
      <c r="I11" t="s">
        <v>275</v>
      </c>
      <c r="J11" t="s">
        <v>276</v>
      </c>
    </row>
    <row r="12" spans="1:10" x14ac:dyDescent="0.3">
      <c r="A12" s="169" t="s">
        <v>212</v>
      </c>
      <c r="B12" s="169" t="s">
        <v>212</v>
      </c>
      <c r="C12" t="str">
        <f>INDEX('Highlevel Master COA'!$B$13:$B$36,MATCH(COA!$B12,'Highlevel Master COA'!$C$13:$C$36,0))</f>
        <v>Overhead &amp; Management</v>
      </c>
      <c r="D12">
        <v>1004</v>
      </c>
      <c r="E12" t="str">
        <f>INDEX('Highlevel Master COA'!$B:$B,MATCH(COA!$D12,'Highlevel Master COA'!$C:$C,0))</f>
        <v>Travel-Other</v>
      </c>
      <c r="F12" t="str">
        <f t="shared" si="0"/>
        <v>01-01-1004</v>
      </c>
      <c r="G12" t="str">
        <f>INDEX('Highlevel Master COA'!$D:$D,MATCH(COA!$D12,'Highlevel Master COA'!$C:$C,0))</f>
        <v>Travel</v>
      </c>
      <c r="H12" t="str">
        <f t="shared" si="1"/>
        <v>Overhead &amp; Management-Travel-Other</v>
      </c>
      <c r="I12" t="s">
        <v>277</v>
      </c>
      <c r="J12" t="s">
        <v>278</v>
      </c>
    </row>
    <row r="13" spans="1:10" x14ac:dyDescent="0.3">
      <c r="A13" s="169" t="s">
        <v>212</v>
      </c>
      <c r="B13" s="169" t="s">
        <v>212</v>
      </c>
      <c r="C13" t="str">
        <f>INDEX('Highlevel Master COA'!$B$13:$B$36,MATCH(COA!$B13,'Highlevel Master COA'!$C$13:$C$36,0))</f>
        <v>Overhead &amp; Management</v>
      </c>
      <c r="D13">
        <v>1100</v>
      </c>
      <c r="E13" t="str">
        <f>INDEX('Highlevel Master COA'!$B:$B,MATCH(COA!$D13,'Highlevel Master COA'!$C:$C,0))</f>
        <v>Contract Wages (Staff)</v>
      </c>
      <c r="F13" t="str">
        <f t="shared" si="0"/>
        <v>01-01-1100</v>
      </c>
      <c r="G13" t="str">
        <f>INDEX('Highlevel Master COA'!$D:$D,MATCH(COA!$D13,'Highlevel Master COA'!$C:$C,0))</f>
        <v>Wages</v>
      </c>
      <c r="H13" t="str">
        <f t="shared" si="1"/>
        <v>Overhead &amp; Management-Contract Wages (Staff)</v>
      </c>
      <c r="I13" t="s">
        <v>279</v>
      </c>
      <c r="J13" t="s">
        <v>280</v>
      </c>
    </row>
    <row r="14" spans="1:10" x14ac:dyDescent="0.3">
      <c r="A14" s="169" t="s">
        <v>212</v>
      </c>
      <c r="B14" s="169" t="s">
        <v>212</v>
      </c>
      <c r="C14" t="str">
        <f>INDEX('Highlevel Master COA'!$B$13:$B$36,MATCH(COA!$B14,'Highlevel Master COA'!$C$13:$C$36,0))</f>
        <v>Overhead &amp; Management</v>
      </c>
      <c r="D14">
        <v>1200</v>
      </c>
      <c r="E14" t="str">
        <f>INDEX('Highlevel Master COA'!$B:$B,MATCH(COA!$D14,'Highlevel Master COA'!$C:$C,0))</f>
        <v>Software</v>
      </c>
      <c r="F14" t="str">
        <f t="shared" si="0"/>
        <v>01-01-1200</v>
      </c>
      <c r="G14" t="str">
        <f>INDEX('Highlevel Master COA'!$D:$D,MATCH(COA!$D14,'Highlevel Master COA'!$C:$C,0))</f>
        <v>Tech</v>
      </c>
      <c r="H14" t="str">
        <f t="shared" si="1"/>
        <v>Overhead &amp; Management-Software</v>
      </c>
      <c r="I14" t="s">
        <v>281</v>
      </c>
      <c r="J14" t="s">
        <v>282</v>
      </c>
    </row>
    <row r="15" spans="1:10" x14ac:dyDescent="0.3">
      <c r="A15" s="169" t="s">
        <v>212</v>
      </c>
      <c r="B15" s="169" t="s">
        <v>212</v>
      </c>
      <c r="C15" t="str">
        <f>INDEX('Highlevel Master COA'!$B$13:$B$36,MATCH(COA!$B15,'Highlevel Master COA'!$C$13:$C$36,0))</f>
        <v>Overhead &amp; Management</v>
      </c>
      <c r="D15">
        <v>1201</v>
      </c>
      <c r="E15" t="str">
        <f>INDEX('Highlevel Master COA'!$B:$B,MATCH(COA!$D15,'Highlevel Master COA'!$C:$C,0))</f>
        <v>Hardware</v>
      </c>
      <c r="F15" t="str">
        <f t="shared" si="0"/>
        <v>01-01-1201</v>
      </c>
      <c r="G15" t="str">
        <f>INDEX('Highlevel Master COA'!$D:$D,MATCH(COA!$D15,'Highlevel Master COA'!$C:$C,0))</f>
        <v>Tech</v>
      </c>
      <c r="H15" t="str">
        <f t="shared" si="1"/>
        <v>Overhead &amp; Management-Hardware</v>
      </c>
      <c r="I15" t="s">
        <v>283</v>
      </c>
      <c r="J15" t="s">
        <v>284</v>
      </c>
    </row>
    <row r="16" spans="1:10" x14ac:dyDescent="0.3">
      <c r="A16" s="169" t="s">
        <v>212</v>
      </c>
      <c r="B16" s="169" t="s">
        <v>212</v>
      </c>
      <c r="C16" t="str">
        <f>INDEX('Highlevel Master COA'!$B$13:$B$36,MATCH(COA!$B16,'Highlevel Master COA'!$C$13:$C$36,0))</f>
        <v>Overhead &amp; Management</v>
      </c>
      <c r="D16">
        <v>1202</v>
      </c>
      <c r="E16" t="str">
        <f>INDEX('Highlevel Master COA'!$B:$B,MATCH(COA!$D16,'Highlevel Master COA'!$C:$C,0))</f>
        <v>Hosted Services</v>
      </c>
      <c r="F16" t="str">
        <f t="shared" si="0"/>
        <v>01-01-1202</v>
      </c>
      <c r="G16" t="str">
        <f>INDEX('Highlevel Master COA'!$D:$D,MATCH(COA!$D16,'Highlevel Master COA'!$C:$C,0))</f>
        <v>Tech</v>
      </c>
      <c r="H16" t="str">
        <f t="shared" si="1"/>
        <v>Overhead &amp; Management-Hosted Services</v>
      </c>
      <c r="I16" t="s">
        <v>285</v>
      </c>
      <c r="J16" t="s">
        <v>286</v>
      </c>
    </row>
    <row r="17" spans="1:10" x14ac:dyDescent="0.3">
      <c r="A17" s="169" t="s">
        <v>212</v>
      </c>
      <c r="B17" s="169" t="s">
        <v>212</v>
      </c>
      <c r="C17" t="str">
        <f>INDEX('Highlevel Master COA'!$B$13:$B$36,MATCH(COA!$B17,'Highlevel Master COA'!$C$13:$C$36,0))</f>
        <v>Overhead &amp; Management</v>
      </c>
      <c r="D17">
        <v>1300</v>
      </c>
      <c r="E17" t="str">
        <f>INDEX('Highlevel Master COA'!$B:$B,MATCH(COA!$D17,'Highlevel Master COA'!$C:$C,0))</f>
        <v>Office Expenses</v>
      </c>
      <c r="F17" t="str">
        <f t="shared" si="0"/>
        <v>01-01-1300</v>
      </c>
      <c r="G17" t="str">
        <f>INDEX('Highlevel Master COA'!$D:$D,MATCH(COA!$D17,'Highlevel Master COA'!$C:$C,0))</f>
        <v>G&amp;A</v>
      </c>
      <c r="H17" t="str">
        <f t="shared" si="1"/>
        <v>Overhead &amp; Management-Office Expenses</v>
      </c>
      <c r="I17" t="s">
        <v>287</v>
      </c>
      <c r="J17" t="s">
        <v>288</v>
      </c>
    </row>
    <row r="18" spans="1:10" x14ac:dyDescent="0.3">
      <c r="A18" s="169" t="s">
        <v>212</v>
      </c>
      <c r="B18" s="169" t="s">
        <v>212</v>
      </c>
      <c r="C18" t="str">
        <f>INDEX('Highlevel Master COA'!$B$13:$B$36,MATCH(COA!$B18,'Highlevel Master COA'!$C$13:$C$36,0))</f>
        <v>Overhead &amp; Management</v>
      </c>
      <c r="D18">
        <v>1301</v>
      </c>
      <c r="E18" t="str">
        <f>INDEX('Highlevel Master COA'!$B:$B,MATCH(COA!$D18,'Highlevel Master COA'!$C:$C,0))</f>
        <v>Membership &amp; Dues</v>
      </c>
      <c r="F18" t="str">
        <f t="shared" si="0"/>
        <v>01-01-1301</v>
      </c>
      <c r="G18" t="str">
        <f>INDEX('Highlevel Master COA'!$D:$D,MATCH(COA!$D18,'Highlevel Master COA'!$C:$C,0))</f>
        <v>G&amp;A</v>
      </c>
      <c r="H18" t="str">
        <f t="shared" si="1"/>
        <v>Overhead &amp; Management-Membership &amp; Dues</v>
      </c>
      <c r="I18" t="s">
        <v>289</v>
      </c>
      <c r="J18" t="s">
        <v>290</v>
      </c>
    </row>
    <row r="19" spans="1:10" x14ac:dyDescent="0.3">
      <c r="A19" s="169" t="s">
        <v>212</v>
      </c>
      <c r="B19" s="169" t="s">
        <v>212</v>
      </c>
      <c r="C19" t="str">
        <f>INDEX('Highlevel Master COA'!$B$13:$B$36,MATCH(COA!$B19,'Highlevel Master COA'!$C$13:$C$36,0))</f>
        <v>Overhead &amp; Management</v>
      </c>
      <c r="D19">
        <v>1302</v>
      </c>
      <c r="E19" t="str">
        <f>INDEX('Highlevel Master COA'!$B:$B,MATCH(COA!$D19,'Highlevel Master COA'!$C:$C,0))</f>
        <v>Shipping &amp; Postage</v>
      </c>
      <c r="F19" t="str">
        <f t="shared" si="0"/>
        <v>01-01-1302</v>
      </c>
      <c r="G19" t="str">
        <f>INDEX('Highlevel Master COA'!$D:$D,MATCH(COA!$D19,'Highlevel Master COA'!$C:$C,0))</f>
        <v>G&amp;A</v>
      </c>
      <c r="H19" t="str">
        <f t="shared" si="1"/>
        <v>Overhead &amp; Management-Shipping &amp; Postage</v>
      </c>
      <c r="I19" t="s">
        <v>291</v>
      </c>
      <c r="J19" t="s">
        <v>292</v>
      </c>
    </row>
    <row r="20" spans="1:10" x14ac:dyDescent="0.3">
      <c r="A20" s="169" t="s">
        <v>212</v>
      </c>
      <c r="B20" s="169" t="s">
        <v>212</v>
      </c>
      <c r="C20" t="str">
        <f>INDEX('Highlevel Master COA'!$B$13:$B$36,MATCH(COA!$B20,'Highlevel Master COA'!$C$13:$C$36,0))</f>
        <v>Overhead &amp; Management</v>
      </c>
      <c r="D20">
        <v>1303</v>
      </c>
      <c r="E20" t="str">
        <f>INDEX('Highlevel Master COA'!$B:$B,MATCH(COA!$D20,'Highlevel Master COA'!$C:$C,0))</f>
        <v>Bank Charges</v>
      </c>
      <c r="F20" t="str">
        <f t="shared" si="0"/>
        <v>01-01-1303</v>
      </c>
      <c r="G20" t="str">
        <f>INDEX('Highlevel Master COA'!$D:$D,MATCH(COA!$D20,'Highlevel Master COA'!$C:$C,0))</f>
        <v>G&amp;A</v>
      </c>
      <c r="H20" t="str">
        <f t="shared" si="1"/>
        <v>Overhead &amp; Management-Bank Charges</v>
      </c>
      <c r="I20" t="s">
        <v>293</v>
      </c>
      <c r="J20" t="s">
        <v>294</v>
      </c>
    </row>
    <row r="21" spans="1:10" x14ac:dyDescent="0.3">
      <c r="A21" s="169" t="s">
        <v>212</v>
      </c>
      <c r="B21" s="169" t="s">
        <v>212</v>
      </c>
      <c r="C21" t="str">
        <f>INDEX('Highlevel Master COA'!$B$13:$B$36,MATCH(COA!$B21,'Highlevel Master COA'!$C$13:$C$36,0))</f>
        <v>Overhead &amp; Management</v>
      </c>
      <c r="D21">
        <v>1304</v>
      </c>
      <c r="E21" t="str">
        <f>INDEX('Highlevel Master COA'!$B:$B,MATCH(COA!$D21,'Highlevel Master COA'!$C:$C,0))</f>
        <v>Cell Phones</v>
      </c>
      <c r="F21" t="str">
        <f t="shared" si="0"/>
        <v>01-01-1304</v>
      </c>
      <c r="G21" t="str">
        <f>INDEX('Highlevel Master COA'!$D:$D,MATCH(COA!$D21,'Highlevel Master COA'!$C:$C,0))</f>
        <v>G&amp;A</v>
      </c>
      <c r="H21" t="str">
        <f t="shared" si="1"/>
        <v>Overhead &amp; Management-Cell Phones</v>
      </c>
      <c r="I21" t="s">
        <v>295</v>
      </c>
      <c r="J21" t="s">
        <v>296</v>
      </c>
    </row>
    <row r="22" spans="1:10" x14ac:dyDescent="0.3">
      <c r="A22" s="169" t="s">
        <v>212</v>
      </c>
      <c r="B22" s="169" t="s">
        <v>212</v>
      </c>
      <c r="C22" t="str">
        <f>INDEX('Highlevel Master COA'!$B$13:$B$36,MATCH(COA!$B22,'Highlevel Master COA'!$C$13:$C$36,0))</f>
        <v>Overhead &amp; Management</v>
      </c>
      <c r="D22">
        <v>1305</v>
      </c>
      <c r="E22" t="str">
        <f>INDEX('Highlevel Master COA'!$B:$B,MATCH(COA!$D22,'Highlevel Master COA'!$C:$C,0))</f>
        <v>G&amp;A - Other</v>
      </c>
      <c r="F22" t="str">
        <f t="shared" si="0"/>
        <v>01-01-1305</v>
      </c>
      <c r="G22" t="str">
        <f>INDEX('Highlevel Master COA'!$D:$D,MATCH(COA!$D22,'Highlevel Master COA'!$C:$C,0))</f>
        <v>G&amp;A</v>
      </c>
      <c r="H22" t="str">
        <f t="shared" si="1"/>
        <v>Overhead &amp; Management-G&amp;A - Other</v>
      </c>
      <c r="I22" t="s">
        <v>297</v>
      </c>
      <c r="J22" t="s">
        <v>298</v>
      </c>
    </row>
    <row r="23" spans="1:10" x14ac:dyDescent="0.3">
      <c r="A23" s="169" t="s">
        <v>212</v>
      </c>
      <c r="B23" s="169" t="s">
        <v>212</v>
      </c>
      <c r="C23" t="str">
        <f>INDEX('Highlevel Master COA'!$B$13:$B$36,MATCH(COA!$B23,'Highlevel Master COA'!$C$13:$C$36,0))</f>
        <v>Overhead &amp; Management</v>
      </c>
      <c r="D23">
        <v>1500</v>
      </c>
      <c r="E23" t="str">
        <f>INDEX('Highlevel Master COA'!$B:$B,MATCH(COA!$D23,'Highlevel Master COA'!$C:$C,0))</f>
        <v>Professional Service Providers</v>
      </c>
      <c r="F23" t="str">
        <f t="shared" si="0"/>
        <v>01-01-1500</v>
      </c>
      <c r="G23" t="str">
        <f>INDEX('Highlevel Master COA'!$D:$D,MATCH(COA!$D23,'Highlevel Master COA'!$C:$C,0))</f>
        <v>Professional Services</v>
      </c>
      <c r="H23" t="str">
        <f t="shared" si="1"/>
        <v>Overhead &amp; Management-Professional Service Providers</v>
      </c>
      <c r="I23" t="s">
        <v>299</v>
      </c>
      <c r="J23" t="s">
        <v>300</v>
      </c>
    </row>
    <row r="24" spans="1:10" x14ac:dyDescent="0.3">
      <c r="A24" s="169" t="s">
        <v>212</v>
      </c>
      <c r="B24" s="169" t="s">
        <v>212</v>
      </c>
      <c r="C24" t="str">
        <f>INDEX('Highlevel Master COA'!$B$13:$B$36,MATCH(COA!$B24,'Highlevel Master COA'!$C$13:$C$36,0))</f>
        <v>Overhead &amp; Management</v>
      </c>
      <c r="D24">
        <v>1601</v>
      </c>
      <c r="E24" t="str">
        <f>INDEX('Highlevel Master COA'!$B:$B,MATCH(COA!$D24,'Highlevel Master COA'!$C:$C,0))</f>
        <v>Interest Expense</v>
      </c>
      <c r="F24" t="str">
        <f t="shared" si="0"/>
        <v>01-01-1601</v>
      </c>
      <c r="G24" t="str">
        <f>INDEX('Highlevel Master COA'!$D:$D,MATCH(COA!$D24,'Highlevel Master COA'!$C:$C,0))</f>
        <v>Other</v>
      </c>
      <c r="H24" t="str">
        <f t="shared" si="1"/>
        <v>Overhead &amp; Management-Interest Expense</v>
      </c>
      <c r="I24" t="s">
        <v>301</v>
      </c>
      <c r="J24" t="s">
        <v>302</v>
      </c>
    </row>
    <row r="25" spans="1:10" x14ac:dyDescent="0.3">
      <c r="A25" s="169" t="s">
        <v>212</v>
      </c>
      <c r="B25" s="169" t="s">
        <v>212</v>
      </c>
      <c r="C25" t="str">
        <f>INDEX('Highlevel Master COA'!$B$13:$B$36,MATCH(COA!$B25,'Highlevel Master COA'!$C$13:$C$36,0))</f>
        <v>Overhead &amp; Management</v>
      </c>
      <c r="D25">
        <v>1602</v>
      </c>
      <c r="E25" t="str">
        <f>INDEX('Highlevel Master COA'!$B:$B,MATCH(COA!$D25,'Highlevel Master COA'!$C:$C,0))</f>
        <v>Bank Revaluations</v>
      </c>
      <c r="F25" t="str">
        <f t="shared" si="0"/>
        <v>01-01-1602</v>
      </c>
      <c r="G25" t="str">
        <f>INDEX('Highlevel Master COA'!$D:$D,MATCH(COA!$D25,'Highlevel Master COA'!$C:$C,0))</f>
        <v>Other</v>
      </c>
      <c r="H25" t="str">
        <f t="shared" si="1"/>
        <v>Overhead &amp; Management-Bank Revaluations</v>
      </c>
      <c r="I25" t="s">
        <v>303</v>
      </c>
      <c r="J25" t="s">
        <v>304</v>
      </c>
    </row>
    <row r="26" spans="1:10" x14ac:dyDescent="0.3">
      <c r="A26" s="169" t="s">
        <v>212</v>
      </c>
      <c r="B26" s="169" t="s">
        <v>212</v>
      </c>
      <c r="C26" t="str">
        <f>INDEX('Highlevel Master COA'!$B$13:$B$36,MATCH(COA!$B26,'Highlevel Master COA'!$C$13:$C$36,0))</f>
        <v>Overhead &amp; Management</v>
      </c>
      <c r="D26">
        <v>1603</v>
      </c>
      <c r="E26" t="str">
        <f>INDEX('Highlevel Master COA'!$B:$B,MATCH(COA!$D26,'Highlevel Master COA'!$C:$C,0))</f>
        <v>Unrealized Currency Gains</v>
      </c>
      <c r="F26" t="str">
        <f t="shared" si="0"/>
        <v>01-01-1603</v>
      </c>
      <c r="G26" t="str">
        <f>INDEX('Highlevel Master COA'!$D:$D,MATCH(COA!$D26,'Highlevel Master COA'!$C:$C,0))</f>
        <v>Other</v>
      </c>
      <c r="H26" t="str">
        <f t="shared" si="1"/>
        <v>Overhead &amp; Management-Unrealized Currency Gains</v>
      </c>
      <c r="I26" t="s">
        <v>305</v>
      </c>
      <c r="J26" t="s">
        <v>306</v>
      </c>
    </row>
    <row r="27" spans="1:10" x14ac:dyDescent="0.3">
      <c r="A27" s="169" t="s">
        <v>212</v>
      </c>
      <c r="B27" s="169" t="s">
        <v>212</v>
      </c>
      <c r="C27" t="str">
        <f>INDEX('Highlevel Master COA'!$B$13:$B$36,MATCH(COA!$B27,'Highlevel Master COA'!$C$13:$C$36,0))</f>
        <v>Overhead &amp; Management</v>
      </c>
      <c r="D27">
        <v>1604</v>
      </c>
      <c r="E27" t="str">
        <f>INDEX('Highlevel Master COA'!$B:$B,MATCH(COA!$D27,'Highlevel Master COA'!$C:$C,0))</f>
        <v>Realized Currency Gains</v>
      </c>
      <c r="F27" t="str">
        <f t="shared" si="0"/>
        <v>01-01-1604</v>
      </c>
      <c r="G27" t="str">
        <f>INDEX('Highlevel Master COA'!$D:$D,MATCH(COA!$D27,'Highlevel Master COA'!$C:$C,0))</f>
        <v>Other</v>
      </c>
      <c r="H27" t="str">
        <f t="shared" si="1"/>
        <v>Overhead &amp; Management-Realized Currency Gains</v>
      </c>
      <c r="I27" t="s">
        <v>307</v>
      </c>
      <c r="J27" t="s">
        <v>308</v>
      </c>
    </row>
    <row r="28" spans="1:10" x14ac:dyDescent="0.3">
      <c r="A28" s="169" t="s">
        <v>212</v>
      </c>
    </row>
    <row r="29" spans="1:10" x14ac:dyDescent="0.3">
      <c r="A29" s="169" t="s">
        <v>212</v>
      </c>
    </row>
    <row r="30" spans="1:10" x14ac:dyDescent="0.3">
      <c r="A30" s="169" t="s">
        <v>212</v>
      </c>
      <c r="B30" s="169" t="s">
        <v>217</v>
      </c>
      <c r="C30" t="str">
        <f>INDEX('Highlevel Master COA'!$B$13:$B$36,MATCH(COA!$B30,'Highlevel Master COA'!$C$13:$C$36,0))</f>
        <v>Comms &amp; Marketing</v>
      </c>
      <c r="D30">
        <v>1000</v>
      </c>
      <c r="E30" t="str">
        <f>INDEX('Highlevel Master COA'!$B:$B,MATCH(COA!$D30,'Highlevel Master COA'!$C:$C,0))</f>
        <v>Travel-Flights</v>
      </c>
      <c r="F30" t="str">
        <f t="shared" si="0"/>
        <v>01-02-1000</v>
      </c>
      <c r="G30" t="str">
        <f>INDEX('Highlevel Master COA'!$D:$D,MATCH(COA!$D30,'Highlevel Master COA'!$C:$C,0))</f>
        <v>Travel</v>
      </c>
      <c r="H30" t="str">
        <f t="shared" si="1"/>
        <v>Comms &amp; Marketing-Travel-Flights</v>
      </c>
      <c r="I30" t="s">
        <v>309</v>
      </c>
      <c r="J30" t="s">
        <v>310</v>
      </c>
    </row>
    <row r="31" spans="1:10" x14ac:dyDescent="0.3">
      <c r="A31" s="169" t="s">
        <v>212</v>
      </c>
      <c r="B31" s="169" t="s">
        <v>217</v>
      </c>
      <c r="C31" t="str">
        <f>INDEX('Highlevel Master COA'!$B$13:$B$36,MATCH(COA!$B31,'Highlevel Master COA'!$C$13:$C$36,0))</f>
        <v>Comms &amp; Marketing</v>
      </c>
      <c r="D31">
        <v>1001</v>
      </c>
      <c r="E31" t="str">
        <f>INDEX('Highlevel Master COA'!$B:$B,MATCH(COA!$D31,'Highlevel Master COA'!$C:$C,0))</f>
        <v>Travel-Hotels</v>
      </c>
      <c r="F31" t="str">
        <f t="shared" si="0"/>
        <v>01-02-1001</v>
      </c>
      <c r="G31" t="str">
        <f>INDEX('Highlevel Master COA'!$D:$D,MATCH(COA!$D31,'Highlevel Master COA'!$C:$C,0))</f>
        <v>Travel</v>
      </c>
      <c r="H31" t="str">
        <f t="shared" si="1"/>
        <v>Comms &amp; Marketing-Travel-Hotels</v>
      </c>
      <c r="I31" t="s">
        <v>311</v>
      </c>
      <c r="J31" t="s">
        <v>312</v>
      </c>
    </row>
    <row r="32" spans="1:10" x14ac:dyDescent="0.3">
      <c r="A32" s="169" t="s">
        <v>212</v>
      </c>
      <c r="B32" s="169" t="s">
        <v>217</v>
      </c>
      <c r="C32" t="str">
        <f>INDEX('Highlevel Master COA'!$B$13:$B$36,MATCH(COA!$B32,'Highlevel Master COA'!$C$13:$C$36,0))</f>
        <v>Comms &amp; Marketing</v>
      </c>
      <c r="D32">
        <v>1002</v>
      </c>
      <c r="E32" t="str">
        <f>INDEX('Highlevel Master COA'!$B:$B,MATCH(COA!$D32,'Highlevel Master COA'!$C:$C,0))</f>
        <v>Meal &amp; Entertainment</v>
      </c>
      <c r="F32" t="str">
        <f t="shared" si="0"/>
        <v>01-02-1002</v>
      </c>
      <c r="G32" t="str">
        <f>INDEX('Highlevel Master COA'!$D:$D,MATCH(COA!$D32,'Highlevel Master COA'!$C:$C,0))</f>
        <v>Travel</v>
      </c>
      <c r="H32" t="str">
        <f t="shared" si="1"/>
        <v>Comms &amp; Marketing-Meal &amp; Entertainment</v>
      </c>
      <c r="I32" t="s">
        <v>313</v>
      </c>
      <c r="J32" t="s">
        <v>314</v>
      </c>
    </row>
    <row r="33" spans="1:10" x14ac:dyDescent="0.3">
      <c r="A33" s="169" t="s">
        <v>212</v>
      </c>
      <c r="B33" s="169" t="s">
        <v>217</v>
      </c>
      <c r="C33" t="str">
        <f>INDEX('Highlevel Master COA'!$B$13:$B$36,MATCH(COA!$B33,'Highlevel Master COA'!$C$13:$C$36,0))</f>
        <v>Comms &amp; Marketing</v>
      </c>
      <c r="D33">
        <v>1003</v>
      </c>
      <c r="E33" t="str">
        <f>INDEX('Highlevel Master COA'!$B:$B,MATCH(COA!$D33,'Highlevel Master COA'!$C:$C,0))</f>
        <v>Transportation</v>
      </c>
      <c r="F33" t="str">
        <f t="shared" si="0"/>
        <v>01-02-1003</v>
      </c>
      <c r="G33" t="str">
        <f>INDEX('Highlevel Master COA'!$D:$D,MATCH(COA!$D33,'Highlevel Master COA'!$C:$C,0))</f>
        <v>Travel</v>
      </c>
      <c r="H33" t="str">
        <f t="shared" si="1"/>
        <v>Comms &amp; Marketing-Transportation</v>
      </c>
      <c r="I33" t="s">
        <v>315</v>
      </c>
      <c r="J33" t="s">
        <v>316</v>
      </c>
    </row>
    <row r="34" spans="1:10" x14ac:dyDescent="0.3">
      <c r="A34" s="169" t="s">
        <v>212</v>
      </c>
      <c r="B34" s="169" t="s">
        <v>217</v>
      </c>
      <c r="C34" t="str">
        <f>INDEX('Highlevel Master COA'!$B$13:$B$36,MATCH(COA!$B34,'Highlevel Master COA'!$C$13:$C$36,0))</f>
        <v>Comms &amp; Marketing</v>
      </c>
      <c r="D34">
        <v>1004</v>
      </c>
      <c r="E34" t="str">
        <f>INDEX('Highlevel Master COA'!$B:$B,MATCH(COA!$D34,'Highlevel Master COA'!$C:$C,0))</f>
        <v>Travel-Other</v>
      </c>
      <c r="F34" t="str">
        <f t="shared" si="0"/>
        <v>01-02-1004</v>
      </c>
      <c r="G34" t="str">
        <f>INDEX('Highlevel Master COA'!$D:$D,MATCH(COA!$D34,'Highlevel Master COA'!$C:$C,0))</f>
        <v>Travel</v>
      </c>
      <c r="H34" t="str">
        <f t="shared" si="1"/>
        <v>Comms &amp; Marketing-Travel-Other</v>
      </c>
      <c r="I34" t="s">
        <v>317</v>
      </c>
      <c r="J34" t="s">
        <v>318</v>
      </c>
    </row>
    <row r="35" spans="1:10" x14ac:dyDescent="0.3">
      <c r="A35" s="169" t="s">
        <v>212</v>
      </c>
      <c r="B35" s="169" t="s">
        <v>217</v>
      </c>
      <c r="C35" t="str">
        <f>INDEX('Highlevel Master COA'!$B$13:$B$36,MATCH(COA!$B35,'Highlevel Master COA'!$C$13:$C$36,0))</f>
        <v>Comms &amp; Marketing</v>
      </c>
      <c r="D35">
        <v>1200</v>
      </c>
      <c r="E35" t="str">
        <f>INDEX('Highlevel Master COA'!$B:$B,MATCH(COA!$D35,'Highlevel Master COA'!$C:$C,0))</f>
        <v>Software</v>
      </c>
      <c r="F35" t="str">
        <f t="shared" si="0"/>
        <v>01-02-1200</v>
      </c>
      <c r="G35" t="str">
        <f>INDEX('Highlevel Master COA'!$D:$D,MATCH(COA!$D35,'Highlevel Master COA'!$C:$C,0))</f>
        <v>Tech</v>
      </c>
      <c r="H35" t="str">
        <f t="shared" si="1"/>
        <v>Comms &amp; Marketing-Software</v>
      </c>
      <c r="I35" t="s">
        <v>319</v>
      </c>
      <c r="J35" t="s">
        <v>320</v>
      </c>
    </row>
    <row r="36" spans="1:10" x14ac:dyDescent="0.3">
      <c r="A36" s="169" t="s">
        <v>212</v>
      </c>
      <c r="B36" s="169" t="s">
        <v>217</v>
      </c>
      <c r="C36" t="str">
        <f>INDEX('Highlevel Master COA'!$B$13:$B$36,MATCH(COA!$B36,'Highlevel Master COA'!$C$13:$C$36,0))</f>
        <v>Comms &amp; Marketing</v>
      </c>
      <c r="D36">
        <v>1400</v>
      </c>
      <c r="E36" t="str">
        <f>INDEX('Highlevel Master COA'!$B:$B,MATCH(COA!$D36,'Highlevel Master COA'!$C:$C,0))</f>
        <v>Conferences</v>
      </c>
      <c r="F36" t="str">
        <f t="shared" si="0"/>
        <v>01-02-1400</v>
      </c>
      <c r="G36" t="str">
        <f>INDEX('Highlevel Master COA'!$D:$D,MATCH(COA!$D36,'Highlevel Master COA'!$C:$C,0))</f>
        <v>Marketing</v>
      </c>
      <c r="H36" t="str">
        <f t="shared" si="1"/>
        <v>Comms &amp; Marketing-Conferences</v>
      </c>
      <c r="I36" t="s">
        <v>321</v>
      </c>
      <c r="J36" t="s">
        <v>322</v>
      </c>
    </row>
    <row r="37" spans="1:10" x14ac:dyDescent="0.3">
      <c r="A37" s="169" t="s">
        <v>212</v>
      </c>
      <c r="B37" s="169" t="s">
        <v>217</v>
      </c>
      <c r="C37" t="str">
        <f>INDEX('Highlevel Master COA'!$B$13:$B$36,MATCH(COA!$B37,'Highlevel Master COA'!$C$13:$C$36,0))</f>
        <v>Comms &amp; Marketing</v>
      </c>
      <c r="D37">
        <v>1401</v>
      </c>
      <c r="E37" t="str">
        <f>INDEX('Highlevel Master COA'!$B:$B,MATCH(COA!$D37,'Highlevel Master COA'!$C:$C,0))</f>
        <v>Sponsorship</v>
      </c>
      <c r="F37" t="str">
        <f t="shared" si="0"/>
        <v>01-02-1401</v>
      </c>
      <c r="G37" t="str">
        <f>INDEX('Highlevel Master COA'!$D:$D,MATCH(COA!$D37,'Highlevel Master COA'!$C:$C,0))</f>
        <v>Marketing</v>
      </c>
      <c r="H37" t="str">
        <f t="shared" si="1"/>
        <v>Comms &amp; Marketing-Sponsorship</v>
      </c>
      <c r="I37" t="s">
        <v>323</v>
      </c>
      <c r="J37" t="s">
        <v>324</v>
      </c>
    </row>
    <row r="38" spans="1:10" x14ac:dyDescent="0.3">
      <c r="A38" s="169" t="s">
        <v>212</v>
      </c>
      <c r="B38" s="169" t="s">
        <v>217</v>
      </c>
      <c r="C38" t="str">
        <f>INDEX('Highlevel Master COA'!$B$13:$B$36,MATCH(COA!$B38,'Highlevel Master COA'!$C$13:$C$36,0))</f>
        <v>Comms &amp; Marketing</v>
      </c>
      <c r="D38">
        <v>1402</v>
      </c>
      <c r="E38" t="str">
        <f>INDEX('Highlevel Master COA'!$B:$B,MATCH(COA!$D38,'Highlevel Master COA'!$C:$C,0))</f>
        <v>Advertising</v>
      </c>
      <c r="F38" t="str">
        <f t="shared" si="0"/>
        <v>01-02-1402</v>
      </c>
      <c r="G38" t="str">
        <f>INDEX('Highlevel Master COA'!$D:$D,MATCH(COA!$D38,'Highlevel Master COA'!$C:$C,0))</f>
        <v>Marketing</v>
      </c>
      <c r="H38" t="str">
        <f t="shared" si="1"/>
        <v>Comms &amp; Marketing-Advertising</v>
      </c>
      <c r="I38" t="s">
        <v>325</v>
      </c>
      <c r="J38" t="s">
        <v>326</v>
      </c>
    </row>
    <row r="39" spans="1:10" x14ac:dyDescent="0.3">
      <c r="A39" s="169" t="s">
        <v>212</v>
      </c>
      <c r="B39" s="169" t="s">
        <v>217</v>
      </c>
      <c r="C39" t="str">
        <f>INDEX('Highlevel Master COA'!$B$13:$B$36,MATCH(COA!$B39,'Highlevel Master COA'!$C$13:$C$36,0))</f>
        <v>Comms &amp; Marketing</v>
      </c>
      <c r="D39">
        <v>1403</v>
      </c>
      <c r="E39" t="str">
        <f>INDEX('Highlevel Master COA'!$B:$B,MATCH(COA!$D39,'Highlevel Master COA'!$C:$C,0))</f>
        <v>Swag</v>
      </c>
      <c r="F39" t="str">
        <f t="shared" si="0"/>
        <v>01-02-1403</v>
      </c>
      <c r="G39" t="str">
        <f>INDEX('Highlevel Master COA'!$D:$D,MATCH(COA!$D39,'Highlevel Master COA'!$C:$C,0))</f>
        <v>Marketing</v>
      </c>
      <c r="H39" t="str">
        <f t="shared" si="1"/>
        <v>Comms &amp; Marketing-Swag</v>
      </c>
      <c r="I39" t="s">
        <v>327</v>
      </c>
      <c r="J39" t="s">
        <v>328</v>
      </c>
    </row>
    <row r="40" spans="1:10" x14ac:dyDescent="0.3">
      <c r="A40" s="169" t="s">
        <v>212</v>
      </c>
      <c r="B40" s="169" t="s">
        <v>217</v>
      </c>
      <c r="C40" t="str">
        <f>INDEX('Highlevel Master COA'!$B$13:$B$36,MATCH(COA!$B40,'Highlevel Master COA'!$C$13:$C$36,0))</f>
        <v>Comms &amp; Marketing</v>
      </c>
      <c r="D40">
        <v>1404</v>
      </c>
      <c r="E40" t="str">
        <f>INDEX('Highlevel Master COA'!$B:$B,MATCH(COA!$D40,'Highlevel Master COA'!$C:$C,0))</f>
        <v>Transparency</v>
      </c>
      <c r="F40" t="str">
        <f t="shared" ref="F40:F42" si="2">CONCATENATE(A40,"-",B40,"-",D40)</f>
        <v>01-02-1404</v>
      </c>
      <c r="G40" t="str">
        <f>INDEX('Highlevel Master COA'!$D:$D,MATCH(COA!$D40,'Highlevel Master COA'!$C:$C,0))</f>
        <v>Marketing</v>
      </c>
      <c r="H40" t="str">
        <f t="shared" ref="H40:H42" si="3">CONCATENATE(C40,"-",E40)</f>
        <v>Comms &amp; Marketing-Transparency</v>
      </c>
      <c r="I40" t="s">
        <v>408</v>
      </c>
      <c r="J40" t="s">
        <v>411</v>
      </c>
    </row>
    <row r="41" spans="1:10" x14ac:dyDescent="0.3">
      <c r="A41" s="169" t="s">
        <v>212</v>
      </c>
      <c r="B41" s="169" t="s">
        <v>217</v>
      </c>
      <c r="C41" t="str">
        <f>INDEX('Highlevel Master COA'!$B$13:$B$36,MATCH(COA!$B41,'Highlevel Master COA'!$C$13:$C$36,0))</f>
        <v>Comms &amp; Marketing</v>
      </c>
      <c r="D41">
        <v>1405</v>
      </c>
      <c r="E41" t="str">
        <f>INDEX('Highlevel Master COA'!$B:$B,MATCH(COA!$D41,'Highlevel Master COA'!$C:$C,0))</f>
        <v>Website</v>
      </c>
      <c r="F41" t="str">
        <f t="shared" si="2"/>
        <v>01-02-1405</v>
      </c>
      <c r="G41" t="str">
        <f>INDEX('Highlevel Master COA'!$D:$D,MATCH(COA!$D41,'Highlevel Master COA'!$C:$C,0))</f>
        <v>Marketing</v>
      </c>
      <c r="H41" t="str">
        <f t="shared" si="3"/>
        <v>Comms &amp; Marketing-Website</v>
      </c>
      <c r="I41" t="s">
        <v>409</v>
      </c>
      <c r="J41" t="s">
        <v>412</v>
      </c>
    </row>
    <row r="42" spans="1:10" x14ac:dyDescent="0.3">
      <c r="A42" s="169" t="s">
        <v>212</v>
      </c>
      <c r="B42" s="169" t="s">
        <v>217</v>
      </c>
      <c r="C42" t="str">
        <f>INDEX('Highlevel Master COA'!$B$13:$B$36,MATCH(COA!$B42,'Highlevel Master COA'!$C$13:$C$36,0))</f>
        <v>Comms &amp; Marketing</v>
      </c>
      <c r="D42">
        <v>1406</v>
      </c>
      <c r="E42" t="str">
        <f>INDEX('Highlevel Master COA'!$B:$B,MATCH(COA!$D42,'Highlevel Master COA'!$C:$C,0))</f>
        <v>Presentations, logos, etc</v>
      </c>
      <c r="F42" t="str">
        <f t="shared" si="2"/>
        <v>01-02-1406</v>
      </c>
      <c r="G42" t="str">
        <f>INDEX('Highlevel Master COA'!$D:$D,MATCH(COA!$D42,'Highlevel Master COA'!$C:$C,0))</f>
        <v>Marketing</v>
      </c>
      <c r="H42" t="str">
        <f t="shared" si="3"/>
        <v>Comms &amp; Marketing-Presentations, logos, etc</v>
      </c>
      <c r="I42" t="s">
        <v>410</v>
      </c>
      <c r="J42" t="s">
        <v>413</v>
      </c>
    </row>
    <row r="43" spans="1:10" x14ac:dyDescent="0.3">
      <c r="A43" s="169" t="s">
        <v>212</v>
      </c>
      <c r="B43" s="169" t="s">
        <v>217</v>
      </c>
      <c r="C43" t="str">
        <f>INDEX('Highlevel Master COA'!$B$13:$B$36,MATCH(COA!$B43,'Highlevel Master COA'!$C$13:$C$36,0))</f>
        <v>Comms &amp; Marketing</v>
      </c>
      <c r="D43">
        <v>1500</v>
      </c>
      <c r="E43" t="str">
        <f>INDEX('Highlevel Master COA'!$B:$B,MATCH(COA!$D43,'Highlevel Master COA'!$C:$C,0))</f>
        <v>Professional Service Providers</v>
      </c>
      <c r="F43" t="str">
        <f t="shared" si="0"/>
        <v>01-02-1500</v>
      </c>
      <c r="G43" t="str">
        <f>INDEX('Highlevel Master COA'!$D:$D,MATCH(COA!$D43,'Highlevel Master COA'!$C:$C,0))</f>
        <v>Professional Services</v>
      </c>
      <c r="H43" t="str">
        <f t="shared" si="1"/>
        <v>Comms &amp; Marketing-Professional Service Providers</v>
      </c>
      <c r="I43" t="s">
        <v>329</v>
      </c>
      <c r="J43" t="s">
        <v>330</v>
      </c>
    </row>
    <row r="44" spans="1:10" x14ac:dyDescent="0.3">
      <c r="A44" s="169" t="s">
        <v>212</v>
      </c>
      <c r="B44" s="169" t="s">
        <v>217</v>
      </c>
      <c r="C44" t="str">
        <f>INDEX('Highlevel Master COA'!$B$13:$B$36,MATCH(COA!$B44,'Highlevel Master COA'!$C$13:$C$36,0))</f>
        <v>Comms &amp; Marketing</v>
      </c>
      <c r="D44">
        <v>1501</v>
      </c>
      <c r="E44" t="str">
        <f>INDEX('Highlevel Master COA'!$B:$B,MATCH(COA!$D44,'Highlevel Master COA'!$C:$C,0))</f>
        <v>Contractors</v>
      </c>
      <c r="F44" t="str">
        <f t="shared" si="0"/>
        <v>01-02-1501</v>
      </c>
      <c r="G44" t="str">
        <f>INDEX('Highlevel Master COA'!$D:$D,MATCH(COA!$D44,'Highlevel Master COA'!$C:$C,0))</f>
        <v>Professional Services</v>
      </c>
      <c r="H44" t="str">
        <f t="shared" si="1"/>
        <v>Comms &amp; Marketing-Contractors</v>
      </c>
      <c r="I44" t="s">
        <v>331</v>
      </c>
      <c r="J44" t="s">
        <v>332</v>
      </c>
    </row>
    <row r="45" spans="1:10" x14ac:dyDescent="0.3">
      <c r="A45" s="169"/>
    </row>
    <row r="46" spans="1:10" x14ac:dyDescent="0.3">
      <c r="A46" s="169" t="s">
        <v>212</v>
      </c>
      <c r="B46" s="169" t="s">
        <v>218</v>
      </c>
      <c r="C46" t="str">
        <f>INDEX('Highlevel Master COA'!$B$13:$B$36,MATCH(COA!$B46,'Highlevel Master COA'!$C$13:$C$36,0))</f>
        <v>Development</v>
      </c>
      <c r="D46">
        <v>1100</v>
      </c>
      <c r="E46" t="str">
        <f>INDEX('Highlevel Master COA'!$B:$B,MATCH(COA!$D46,'Highlevel Master COA'!$C:$C,0))</f>
        <v>Contract Wages (Staff)</v>
      </c>
      <c r="F46" t="str">
        <f t="shared" si="0"/>
        <v>01-03-1100</v>
      </c>
      <c r="G46" t="str">
        <f>INDEX('Highlevel Master COA'!$D:$D,MATCH(COA!$D46,'Highlevel Master COA'!$C:$C,0))</f>
        <v>Wages</v>
      </c>
      <c r="H46" t="str">
        <f>CONCATENATE(C46,"-",E46)</f>
        <v>Development-Contract Wages (Staff)</v>
      </c>
      <c r="I46" t="s">
        <v>333</v>
      </c>
      <c r="J46" t="s">
        <v>334</v>
      </c>
    </row>
    <row r="47" spans="1:10" x14ac:dyDescent="0.3">
      <c r="A47" s="169" t="s">
        <v>212</v>
      </c>
      <c r="B47" s="169" t="s">
        <v>218</v>
      </c>
      <c r="C47" t="str">
        <f>INDEX('Highlevel Master COA'!$B$13:$B$36,MATCH(COA!$B47,'Highlevel Master COA'!$C$13:$C$36,0))</f>
        <v>Development</v>
      </c>
      <c r="D47">
        <v>1202</v>
      </c>
      <c r="E47" t="str">
        <f>INDEX('Highlevel Master COA'!$B:$B,MATCH(COA!$D47,'Highlevel Master COA'!$C:$C,0))</f>
        <v>Hosted Services</v>
      </c>
      <c r="F47" t="str">
        <f t="shared" si="0"/>
        <v>01-03-1202</v>
      </c>
      <c r="G47" t="str">
        <f>INDEX('Highlevel Master COA'!$D:$D,MATCH(COA!$D47,'Highlevel Master COA'!$C:$C,0))</f>
        <v>Tech</v>
      </c>
      <c r="H47" t="str">
        <f>CONCATENATE(C47,"-",E47)</f>
        <v>Development-Hosted Services</v>
      </c>
      <c r="I47" t="s">
        <v>335</v>
      </c>
      <c r="J47" t="s">
        <v>336</v>
      </c>
    </row>
    <row r="48" spans="1:10" x14ac:dyDescent="0.3">
      <c r="A48" s="169" t="s">
        <v>212</v>
      </c>
      <c r="B48" s="169" t="s">
        <v>218</v>
      </c>
      <c r="C48" t="str">
        <f>INDEX('Highlevel Master COA'!$B$13:$B$36,MATCH(COA!$B48,'Highlevel Master COA'!$C$13:$C$36,0))</f>
        <v>Development</v>
      </c>
      <c r="D48">
        <v>1500</v>
      </c>
      <c r="E48" t="str">
        <f>INDEX('Highlevel Master COA'!$B:$B,MATCH(COA!$D48,'Highlevel Master COA'!$C:$C,0))</f>
        <v>Professional Service Providers</v>
      </c>
      <c r="F48" t="str">
        <f t="shared" si="0"/>
        <v>01-03-1500</v>
      </c>
      <c r="G48" t="str">
        <f>INDEX('Highlevel Master COA'!$D:$D,MATCH(COA!$D48,'Highlevel Master COA'!$C:$C,0))</f>
        <v>Professional Services</v>
      </c>
      <c r="H48" t="str">
        <f>CONCATENATE(C48,"-",E48)</f>
        <v>Development-Professional Service Providers</v>
      </c>
      <c r="I48" t="s">
        <v>337</v>
      </c>
      <c r="J48" t="s">
        <v>338</v>
      </c>
    </row>
    <row r="49" spans="1:10" x14ac:dyDescent="0.3">
      <c r="A49" s="169" t="s">
        <v>212</v>
      </c>
      <c r="B49" s="169" t="s">
        <v>218</v>
      </c>
      <c r="C49" t="str">
        <f>INDEX('Highlevel Master COA'!$B$13:$B$36,MATCH(COA!$B49,'Highlevel Master COA'!$C$13:$C$36,0))</f>
        <v>Development</v>
      </c>
      <c r="D49">
        <v>1501</v>
      </c>
      <c r="E49" t="str">
        <f>INDEX('Highlevel Master COA'!$B:$B,MATCH(COA!$D49,'Highlevel Master COA'!$C:$C,0))</f>
        <v>Contractors</v>
      </c>
      <c r="F49" t="str">
        <f t="shared" si="0"/>
        <v>01-03-1501</v>
      </c>
      <c r="G49" t="str">
        <f>INDEX('Highlevel Master COA'!$D:$D,MATCH(COA!$D49,'Highlevel Master COA'!$C:$C,0))</f>
        <v>Professional Services</v>
      </c>
      <c r="H49" t="str">
        <f>CONCATENATE(C49,"-",E49)</f>
        <v>Development-Contractors</v>
      </c>
      <c r="I49" t="s">
        <v>339</v>
      </c>
      <c r="J49" t="s">
        <v>340</v>
      </c>
    </row>
    <row r="50" spans="1:10" x14ac:dyDescent="0.3">
      <c r="A50" s="169" t="s">
        <v>212</v>
      </c>
      <c r="B50" s="169" t="s">
        <v>218</v>
      </c>
      <c r="C50" t="str">
        <f>INDEX('Highlevel Master COA'!$B$13:$B$36,MATCH(COA!$B50,'Highlevel Master COA'!$C$13:$C$36,0))</f>
        <v>Development</v>
      </c>
      <c r="D50">
        <v>1502</v>
      </c>
      <c r="E50" t="str">
        <f>INDEX('Highlevel Master COA'!$B:$B,MATCH(COA!$D50,'Highlevel Master COA'!$C:$C,0))</f>
        <v>Grants</v>
      </c>
      <c r="F50" t="str">
        <f t="shared" si="0"/>
        <v>01-03-1502</v>
      </c>
      <c r="G50" t="str">
        <f>INDEX('Highlevel Master COA'!$D:$D,MATCH(COA!$D50,'Highlevel Master COA'!$C:$C,0))</f>
        <v>Grants</v>
      </c>
      <c r="H50" t="str">
        <f>CONCATENATE(C50,"-",E50)</f>
        <v>Development-Grants</v>
      </c>
      <c r="I50" t="s">
        <v>341</v>
      </c>
      <c r="J50" t="s">
        <v>342</v>
      </c>
    </row>
    <row r="51" spans="1:10" x14ac:dyDescent="0.3">
      <c r="A51" s="169"/>
    </row>
    <row r="52" spans="1:10" x14ac:dyDescent="0.3">
      <c r="A52" s="169" t="s">
        <v>212</v>
      </c>
      <c r="B52" s="169" t="s">
        <v>219</v>
      </c>
      <c r="C52" t="str">
        <f>INDEX('Highlevel Master COA'!$B$13:$B$36,MATCH(COA!$B52,'Highlevel Master COA'!$C$13:$C$36,0))</f>
        <v>Infrastructure</v>
      </c>
      <c r="D52">
        <v>1202</v>
      </c>
      <c r="E52" t="str">
        <f>INDEX('Highlevel Master COA'!$B:$B,MATCH(COA!$D52,'Highlevel Master COA'!$C:$C,0))</f>
        <v>Hosted Services</v>
      </c>
      <c r="F52" t="str">
        <f t="shared" si="0"/>
        <v>01-04-1202</v>
      </c>
      <c r="G52" t="str">
        <f>INDEX('Highlevel Master COA'!$D:$D,MATCH(COA!$D52,'Highlevel Master COA'!$C:$C,0))</f>
        <v>Tech</v>
      </c>
      <c r="H52" t="str">
        <f>CONCATENATE(C52,"-",E52)</f>
        <v>Infrastructure-Hosted Services</v>
      </c>
      <c r="I52" t="s">
        <v>343</v>
      </c>
      <c r="J52" t="s">
        <v>344</v>
      </c>
    </row>
    <row r="53" spans="1:10" x14ac:dyDescent="0.3">
      <c r="A53" s="169" t="s">
        <v>212</v>
      </c>
      <c r="B53" s="169" t="s">
        <v>219</v>
      </c>
      <c r="C53" t="str">
        <f>INDEX('Highlevel Master COA'!$B$13:$B$36,MATCH(COA!$B53,'Highlevel Master COA'!$C$13:$C$36,0))</f>
        <v>Infrastructure</v>
      </c>
      <c r="D53">
        <v>1500</v>
      </c>
      <c r="E53" t="str">
        <f>INDEX('Highlevel Master COA'!$B:$B,MATCH(COA!$D53,'Highlevel Master COA'!$C:$C,0))</f>
        <v>Professional Service Providers</v>
      </c>
      <c r="F53" t="str">
        <f t="shared" si="0"/>
        <v>01-04-1500</v>
      </c>
      <c r="G53" t="str">
        <f>INDEX('Highlevel Master COA'!$D:$D,MATCH(COA!$D53,'Highlevel Master COA'!$C:$C,0))</f>
        <v>Professional Services</v>
      </c>
      <c r="H53" t="str">
        <f>CONCATENATE(C53,"-",E53)</f>
        <v>Infrastructure-Professional Service Providers</v>
      </c>
      <c r="I53" t="s">
        <v>345</v>
      </c>
      <c r="J53" t="s">
        <v>346</v>
      </c>
    </row>
    <row r="54" spans="1:10" x14ac:dyDescent="0.3">
      <c r="A54" s="169" t="s">
        <v>212</v>
      </c>
      <c r="B54" s="169" t="s">
        <v>219</v>
      </c>
      <c r="C54" t="str">
        <f>INDEX('Highlevel Master COA'!$B$13:$B$36,MATCH(COA!$B54,'Highlevel Master COA'!$C$13:$C$36,0))</f>
        <v>Infrastructure</v>
      </c>
      <c r="D54">
        <v>1501</v>
      </c>
      <c r="E54" t="str">
        <f>INDEX('Highlevel Master COA'!$B:$B,MATCH(COA!$D54,'Highlevel Master COA'!$C:$C,0))</f>
        <v>Contractors</v>
      </c>
      <c r="F54" t="str">
        <f t="shared" si="0"/>
        <v>01-04-1501</v>
      </c>
      <c r="G54" t="str">
        <f>INDEX('Highlevel Master COA'!$D:$D,MATCH(COA!$D54,'Highlevel Master COA'!$C:$C,0))</f>
        <v>Professional Services</v>
      </c>
      <c r="H54" t="str">
        <f>CONCATENATE(C54,"-",E54)</f>
        <v>Infrastructure-Contractors</v>
      </c>
      <c r="I54" t="s">
        <v>347</v>
      </c>
      <c r="J54" t="s">
        <v>348</v>
      </c>
    </row>
    <row r="55" spans="1:10" x14ac:dyDescent="0.3">
      <c r="A55" s="169" t="s">
        <v>212</v>
      </c>
      <c r="B55" s="169" t="s">
        <v>219</v>
      </c>
      <c r="C55" t="str">
        <f>INDEX('Highlevel Master COA'!$B$13:$B$36,MATCH(COA!$B55,'Highlevel Master COA'!$C$13:$C$36,0))</f>
        <v>Infrastructure</v>
      </c>
      <c r="D55">
        <v>1502</v>
      </c>
      <c r="E55" t="str">
        <f>INDEX('Highlevel Master COA'!$B:$B,MATCH(COA!$D55,'Highlevel Master COA'!$C:$C,0))</f>
        <v>Grants</v>
      </c>
      <c r="F55" t="str">
        <f t="shared" si="0"/>
        <v>01-04-1502</v>
      </c>
      <c r="G55" t="str">
        <f>INDEX('Highlevel Master COA'!$D:$D,MATCH(COA!$D55,'Highlevel Master COA'!$C:$C,0))</f>
        <v>Grants</v>
      </c>
      <c r="H55" t="str">
        <f>CONCATENATE(C55,"-",E55)</f>
        <v>Infrastructure-Grants</v>
      </c>
      <c r="I55" t="s">
        <v>349</v>
      </c>
      <c r="J55" t="s">
        <v>350</v>
      </c>
    </row>
    <row r="56" spans="1:10" x14ac:dyDescent="0.3">
      <c r="A56" s="169"/>
    </row>
    <row r="57" spans="1:10" x14ac:dyDescent="0.3">
      <c r="A57" s="169" t="s">
        <v>212</v>
      </c>
      <c r="B57" s="169" t="s">
        <v>220</v>
      </c>
      <c r="C57" t="str">
        <f>INDEX('Highlevel Master COA'!$B$13:$B$36,MATCH(COA!$B57,'Highlevel Master COA'!$C$13:$C$36,0))</f>
        <v>Protocol</v>
      </c>
      <c r="D57">
        <v>1202</v>
      </c>
      <c r="E57" t="str">
        <f>INDEX('Highlevel Master COA'!$B:$B,MATCH(COA!$D57,'Highlevel Master COA'!$C:$C,0))</f>
        <v>Hosted Services</v>
      </c>
      <c r="F57" t="str">
        <f t="shared" si="0"/>
        <v>01-05-1202</v>
      </c>
      <c r="G57" t="str">
        <f>INDEX('Highlevel Master COA'!$D:$D,MATCH(COA!$D57,'Highlevel Master COA'!$C:$C,0))</f>
        <v>Tech</v>
      </c>
      <c r="H57" t="str">
        <f>CONCATENATE(C57,"-",E57)</f>
        <v>Protocol-Hosted Services</v>
      </c>
      <c r="I57" t="s">
        <v>351</v>
      </c>
      <c r="J57" t="s">
        <v>352</v>
      </c>
    </row>
    <row r="58" spans="1:10" x14ac:dyDescent="0.3">
      <c r="A58" s="169" t="s">
        <v>212</v>
      </c>
      <c r="B58" s="169" t="s">
        <v>220</v>
      </c>
      <c r="C58" t="str">
        <f>INDEX('Highlevel Master COA'!$B$13:$B$36,MATCH(COA!$B58,'Highlevel Master COA'!$C$13:$C$36,0))</f>
        <v>Protocol</v>
      </c>
      <c r="D58">
        <v>1500</v>
      </c>
      <c r="E58" t="str">
        <f>INDEX('Highlevel Master COA'!$B:$B,MATCH(COA!$D58,'Highlevel Master COA'!$C:$C,0))</f>
        <v>Professional Service Providers</v>
      </c>
      <c r="F58" t="str">
        <f t="shared" si="0"/>
        <v>01-05-1500</v>
      </c>
      <c r="G58" t="str">
        <f>INDEX('Highlevel Master COA'!$D:$D,MATCH(COA!$D58,'Highlevel Master COA'!$C:$C,0))</f>
        <v>Professional Services</v>
      </c>
      <c r="H58" t="str">
        <f>CONCATENATE(C58,"-",E58)</f>
        <v>Protocol-Professional Service Providers</v>
      </c>
      <c r="I58" t="s">
        <v>353</v>
      </c>
      <c r="J58" t="s">
        <v>354</v>
      </c>
    </row>
    <row r="59" spans="1:10" x14ac:dyDescent="0.3">
      <c r="A59" s="169" t="s">
        <v>212</v>
      </c>
      <c r="B59" s="169" t="s">
        <v>220</v>
      </c>
      <c r="C59" t="str">
        <f>INDEX('Highlevel Master COA'!$B$13:$B$36,MATCH(COA!$B59,'Highlevel Master COA'!$C$13:$C$36,0))</f>
        <v>Protocol</v>
      </c>
      <c r="D59">
        <v>1501</v>
      </c>
      <c r="E59" t="str">
        <f>INDEX('Highlevel Master COA'!$B:$B,MATCH(COA!$D59,'Highlevel Master COA'!$C:$C,0))</f>
        <v>Contractors</v>
      </c>
      <c r="F59" t="str">
        <f t="shared" si="0"/>
        <v>01-05-1501</v>
      </c>
      <c r="G59" t="str">
        <f>INDEX('Highlevel Master COA'!$D:$D,MATCH(COA!$D59,'Highlevel Master COA'!$C:$C,0))</f>
        <v>Professional Services</v>
      </c>
      <c r="H59" t="str">
        <f>CONCATENATE(C59,"-",E59)</f>
        <v>Protocol-Contractors</v>
      </c>
      <c r="I59" t="s">
        <v>355</v>
      </c>
      <c r="J59" t="s">
        <v>356</v>
      </c>
    </row>
    <row r="60" spans="1:10" x14ac:dyDescent="0.3">
      <c r="A60" s="169" t="s">
        <v>212</v>
      </c>
      <c r="B60" s="169" t="s">
        <v>220</v>
      </c>
      <c r="C60" t="str">
        <f>INDEX('Highlevel Master COA'!$B$13:$B$36,MATCH(COA!$B60,'Highlevel Master COA'!$C$13:$C$36,0))</f>
        <v>Protocol</v>
      </c>
      <c r="D60">
        <v>1502</v>
      </c>
      <c r="E60" t="str">
        <f>INDEX('Highlevel Master COA'!$B:$B,MATCH(COA!$D60,'Highlevel Master COA'!$C:$C,0))</f>
        <v>Grants</v>
      </c>
      <c r="F60" t="str">
        <f t="shared" si="0"/>
        <v>01-05-1502</v>
      </c>
      <c r="G60" t="str">
        <f>INDEX('Highlevel Master COA'!$D:$D,MATCH(COA!$D60,'Highlevel Master COA'!$C:$C,0))</f>
        <v>Grants</v>
      </c>
      <c r="H60" t="str">
        <f>CONCATENATE(C60,"-",E60)</f>
        <v>Protocol-Grants</v>
      </c>
      <c r="I60" t="s">
        <v>357</v>
      </c>
      <c r="J60" t="s">
        <v>358</v>
      </c>
    </row>
    <row r="61" spans="1:10" x14ac:dyDescent="0.3">
      <c r="A61" s="169"/>
    </row>
    <row r="62" spans="1:10" x14ac:dyDescent="0.3">
      <c r="A62" s="169" t="s">
        <v>212</v>
      </c>
      <c r="B62" s="169" t="s">
        <v>221</v>
      </c>
      <c r="C62" t="str">
        <f>INDEX('Highlevel Master COA'!$B$13:$B$36,MATCH(COA!$B62,'Highlevel Master COA'!$C$13:$C$36,0))</f>
        <v>Partnerships</v>
      </c>
      <c r="D62">
        <v>1500</v>
      </c>
      <c r="E62" t="str">
        <f>INDEX('Highlevel Master COA'!$B:$B,MATCH(COA!$D62,'Highlevel Master COA'!$C:$C,0))</f>
        <v>Professional Service Providers</v>
      </c>
      <c r="F62" t="str">
        <f t="shared" si="0"/>
        <v>01-06-1500</v>
      </c>
      <c r="G62" t="str">
        <f>INDEX('Highlevel Master COA'!$D:$D,MATCH(COA!$D62,'Highlevel Master COA'!$C:$C,0))</f>
        <v>Professional Services</v>
      </c>
      <c r="H62" t="str">
        <f>CONCATENATE(C62,"-",E62)</f>
        <v>Partnerships-Professional Service Providers</v>
      </c>
      <c r="I62" t="s">
        <v>359</v>
      </c>
      <c r="J62" t="s">
        <v>360</v>
      </c>
    </row>
    <row r="63" spans="1:10" x14ac:dyDescent="0.3">
      <c r="A63" s="169" t="s">
        <v>212</v>
      </c>
      <c r="B63" s="169" t="s">
        <v>221</v>
      </c>
      <c r="C63" t="str">
        <f>INDEX('Highlevel Master COA'!$B$13:$B$36,MATCH(COA!$B63,'Highlevel Master COA'!$C$13:$C$36,0))</f>
        <v>Partnerships</v>
      </c>
      <c r="D63">
        <v>1501</v>
      </c>
      <c r="E63" t="str">
        <f>INDEX('Highlevel Master COA'!$B:$B,MATCH(COA!$D63,'Highlevel Master COA'!$C:$C,0))</f>
        <v>Contractors</v>
      </c>
      <c r="F63" t="str">
        <f t="shared" si="0"/>
        <v>01-06-1501</v>
      </c>
      <c r="G63" t="str">
        <f>INDEX('Highlevel Master COA'!$D:$D,MATCH(COA!$D63,'Highlevel Master COA'!$C:$C,0))</f>
        <v>Professional Services</v>
      </c>
      <c r="H63" t="str">
        <f>CONCATENATE(C63,"-",E63)</f>
        <v>Partnerships-Contractors</v>
      </c>
      <c r="I63" t="s">
        <v>361</v>
      </c>
      <c r="J63" t="s">
        <v>362</v>
      </c>
    </row>
    <row r="64" spans="1:10" x14ac:dyDescent="0.3">
      <c r="A64" s="169" t="s">
        <v>212</v>
      </c>
      <c r="B64" s="169" t="s">
        <v>221</v>
      </c>
      <c r="C64" t="str">
        <f>INDEX('Highlevel Master COA'!$B$13:$B$36,MATCH(COA!$B64,'Highlevel Master COA'!$C$13:$C$36,0))</f>
        <v>Partnerships</v>
      </c>
      <c r="D64">
        <v>1502</v>
      </c>
      <c r="E64" t="str">
        <f>INDEX('Highlevel Master COA'!$B:$B,MATCH(COA!$D64,'Highlevel Master COA'!$C:$C,0))</f>
        <v>Grants</v>
      </c>
      <c r="F64" t="str">
        <f t="shared" si="0"/>
        <v>01-06-1502</v>
      </c>
      <c r="G64" t="str">
        <f>INDEX('Highlevel Master COA'!$D:$D,MATCH(COA!$D64,'Highlevel Master COA'!$C:$C,0))</f>
        <v>Grants</v>
      </c>
      <c r="H64" t="str">
        <f>CONCATENATE(C64,"-",E64)</f>
        <v>Partnerships-Grants</v>
      </c>
      <c r="I64" t="s">
        <v>363</v>
      </c>
      <c r="J64" t="s">
        <v>364</v>
      </c>
    </row>
    <row r="65" spans="1:10" x14ac:dyDescent="0.3">
      <c r="A65" s="169"/>
      <c r="B65" s="169"/>
    </row>
    <row r="66" spans="1:10" x14ac:dyDescent="0.3">
      <c r="A66" s="169" t="s">
        <v>212</v>
      </c>
      <c r="B66" s="169" t="s">
        <v>222</v>
      </c>
      <c r="C66" t="str">
        <f>INDEX('Highlevel Master COA'!$B$13:$B$36,MATCH(COA!$B66,'Highlevel Master COA'!$C$13:$C$36,0))</f>
        <v>Finance</v>
      </c>
      <c r="D66">
        <v>1100</v>
      </c>
      <c r="E66" t="str">
        <f>INDEX('Highlevel Master COA'!$B:$B,MATCH(COA!$D66,'Highlevel Master COA'!$C:$C,0))</f>
        <v>Contract Wages (Staff)</v>
      </c>
      <c r="F66" t="str">
        <f t="shared" si="0"/>
        <v>01-07-1100</v>
      </c>
      <c r="G66" t="str">
        <f>INDEX('Highlevel Master COA'!$D:$D,MATCH(COA!$D66,'Highlevel Master COA'!$C:$C,0))</f>
        <v>Wages</v>
      </c>
      <c r="H66" t="str">
        <f>CONCATENATE(C66,"-",E66)</f>
        <v>Finance-Contract Wages (Staff)</v>
      </c>
      <c r="I66" t="s">
        <v>365</v>
      </c>
      <c r="J66" t="s">
        <v>366</v>
      </c>
    </row>
    <row r="67" spans="1:10" x14ac:dyDescent="0.3">
      <c r="A67" s="169" t="s">
        <v>212</v>
      </c>
      <c r="B67" s="169" t="s">
        <v>222</v>
      </c>
      <c r="C67" t="str">
        <f>INDEX('Highlevel Master COA'!$B$13:$B$36,MATCH(COA!$B67,'Highlevel Master COA'!$C$13:$C$36,0))</f>
        <v>Finance</v>
      </c>
      <c r="D67">
        <v>1200</v>
      </c>
      <c r="E67" t="str">
        <f>INDEX('Highlevel Master COA'!$B:$B,MATCH(COA!$D67,'Highlevel Master COA'!$C:$C,0))</f>
        <v>Software</v>
      </c>
      <c r="F67" t="str">
        <f t="shared" si="0"/>
        <v>01-07-1200</v>
      </c>
      <c r="G67" t="str">
        <f>INDEX('Highlevel Master COA'!$D:$D,MATCH(COA!$D67,'Highlevel Master COA'!$C:$C,0))</f>
        <v>Tech</v>
      </c>
      <c r="H67" t="str">
        <f>CONCATENATE(C67,"-",E67)</f>
        <v>Finance-Software</v>
      </c>
      <c r="I67" t="s">
        <v>367</v>
      </c>
      <c r="J67" t="s">
        <v>368</v>
      </c>
    </row>
    <row r="68" spans="1:10" x14ac:dyDescent="0.3">
      <c r="A68" s="169" t="s">
        <v>212</v>
      </c>
      <c r="B68" s="169" t="s">
        <v>222</v>
      </c>
      <c r="C68" t="str">
        <f>INDEX('Highlevel Master COA'!$B$13:$B$36,MATCH(COA!$B68,'Highlevel Master COA'!$C$13:$C$36,0))</f>
        <v>Finance</v>
      </c>
      <c r="D68">
        <v>1500</v>
      </c>
      <c r="E68" t="str">
        <f>INDEX('Highlevel Master COA'!$B:$B,MATCH(COA!$D68,'Highlevel Master COA'!$C:$C,0))</f>
        <v>Professional Service Providers</v>
      </c>
      <c r="F68" t="str">
        <f t="shared" si="0"/>
        <v>01-07-1500</v>
      </c>
      <c r="G68" t="str">
        <f>INDEX('Highlevel Master COA'!$D:$D,MATCH(COA!$D68,'Highlevel Master COA'!$C:$C,0))</f>
        <v>Professional Services</v>
      </c>
      <c r="H68" t="str">
        <f>CONCATENATE(C68,"-",E68)</f>
        <v>Finance-Professional Service Providers</v>
      </c>
      <c r="I68" t="s">
        <v>369</v>
      </c>
      <c r="J68" t="s">
        <v>370</v>
      </c>
    </row>
    <row r="69" spans="1:10" x14ac:dyDescent="0.3">
      <c r="A69" s="169" t="s">
        <v>212</v>
      </c>
      <c r="B69" s="169" t="s">
        <v>222</v>
      </c>
      <c r="C69" t="str">
        <f>INDEX('Highlevel Master COA'!$B$13:$B$36,MATCH(COA!$B69,'Highlevel Master COA'!$C$13:$C$36,0))</f>
        <v>Finance</v>
      </c>
      <c r="D69">
        <v>1501</v>
      </c>
      <c r="E69" t="str">
        <f>INDEX('Highlevel Master COA'!$B:$B,MATCH(COA!$D69,'Highlevel Master COA'!$C:$C,0))</f>
        <v>Contractors</v>
      </c>
      <c r="F69" t="str">
        <f t="shared" si="0"/>
        <v>01-07-1501</v>
      </c>
      <c r="G69" t="str">
        <f>INDEX('Highlevel Master COA'!$D:$D,MATCH(COA!$D69,'Highlevel Master COA'!$C:$C,0))</f>
        <v>Professional Services</v>
      </c>
      <c r="H69" t="str">
        <f>CONCATENATE(C69,"-",E69)</f>
        <v>Finance-Contractors</v>
      </c>
      <c r="I69" t="s">
        <v>371</v>
      </c>
      <c r="J69" t="s">
        <v>372</v>
      </c>
    </row>
    <row r="70" spans="1:10" x14ac:dyDescent="0.3">
      <c r="A70" s="169"/>
      <c r="B70" s="169"/>
    </row>
    <row r="71" spans="1:10" x14ac:dyDescent="0.3">
      <c r="A71" s="169" t="s">
        <v>212</v>
      </c>
      <c r="B71" s="169" t="s">
        <v>223</v>
      </c>
      <c r="C71" t="str">
        <f>INDEX('Highlevel Master COA'!$B$13:$B$36,MATCH(COA!$B71,'Highlevel Master COA'!$C$13:$C$36,0))</f>
        <v>ETC Summit</v>
      </c>
      <c r="D71">
        <v>1000</v>
      </c>
      <c r="E71" t="str">
        <f>INDEX('Highlevel Master COA'!$B:$B,MATCH(COA!$D71,'Highlevel Master COA'!$C:$C,0))</f>
        <v>Travel-Flights</v>
      </c>
      <c r="F71" t="str">
        <f t="shared" si="0"/>
        <v>01-08-1000</v>
      </c>
      <c r="G71" t="str">
        <f>INDEX('Highlevel Master COA'!$D:$D,MATCH(COA!$D71,'Highlevel Master COA'!$C:$C,0))</f>
        <v>Travel</v>
      </c>
      <c r="H71" t="str">
        <f t="shared" ref="H71:H87" si="4">CONCATENATE(C71,"-",E71)</f>
        <v>ETC Summit-Travel-Flights</v>
      </c>
      <c r="I71" t="s">
        <v>373</v>
      </c>
      <c r="J71" t="s">
        <v>374</v>
      </c>
    </row>
    <row r="72" spans="1:10" x14ac:dyDescent="0.3">
      <c r="A72" s="169" t="s">
        <v>212</v>
      </c>
      <c r="B72" s="169" t="s">
        <v>223</v>
      </c>
      <c r="C72" t="str">
        <f>INDEX('Highlevel Master COA'!$B$13:$B$36,MATCH(COA!$B72,'Highlevel Master COA'!$C$13:$C$36,0))</f>
        <v>ETC Summit</v>
      </c>
      <c r="D72">
        <v>1001</v>
      </c>
      <c r="E72" t="str">
        <f>INDEX('Highlevel Master COA'!$B:$B,MATCH(COA!$D72,'Highlevel Master COA'!$C:$C,0))</f>
        <v>Travel-Hotels</v>
      </c>
      <c r="F72" t="str">
        <f t="shared" si="0"/>
        <v>01-08-1001</v>
      </c>
      <c r="G72" t="str">
        <f>INDEX('Highlevel Master COA'!$D:$D,MATCH(COA!$D72,'Highlevel Master COA'!$C:$C,0))</f>
        <v>Travel</v>
      </c>
      <c r="H72" t="str">
        <f t="shared" si="4"/>
        <v>ETC Summit-Travel-Hotels</v>
      </c>
      <c r="I72" t="s">
        <v>375</v>
      </c>
      <c r="J72" t="s">
        <v>376</v>
      </c>
    </row>
    <row r="73" spans="1:10" x14ac:dyDescent="0.3">
      <c r="A73" s="169" t="s">
        <v>212</v>
      </c>
      <c r="B73" s="169" t="s">
        <v>223</v>
      </c>
      <c r="C73" t="str">
        <f>INDEX('Highlevel Master COA'!$B$13:$B$36,MATCH(COA!$B73,'Highlevel Master COA'!$C$13:$C$36,0))</f>
        <v>ETC Summit</v>
      </c>
      <c r="D73">
        <v>1002</v>
      </c>
      <c r="E73" t="str">
        <f>INDEX('Highlevel Master COA'!$B:$B,MATCH(COA!$D73,'Highlevel Master COA'!$C:$C,0))</f>
        <v>Meal &amp; Entertainment</v>
      </c>
      <c r="F73" t="str">
        <f t="shared" si="0"/>
        <v>01-08-1002</v>
      </c>
      <c r="G73" t="str">
        <f>INDEX('Highlevel Master COA'!$D:$D,MATCH(COA!$D73,'Highlevel Master COA'!$C:$C,0))</f>
        <v>Travel</v>
      </c>
      <c r="H73" t="str">
        <f t="shared" si="4"/>
        <v>ETC Summit-Meal &amp; Entertainment</v>
      </c>
      <c r="I73" t="s">
        <v>377</v>
      </c>
      <c r="J73" t="s">
        <v>378</v>
      </c>
    </row>
    <row r="74" spans="1:10" x14ac:dyDescent="0.3">
      <c r="A74" s="169" t="s">
        <v>212</v>
      </c>
      <c r="B74" s="169" t="s">
        <v>223</v>
      </c>
      <c r="C74" t="str">
        <f>INDEX('Highlevel Master COA'!$B$13:$B$36,MATCH(COA!$B74,'Highlevel Master COA'!$C$13:$C$36,0))</f>
        <v>ETC Summit</v>
      </c>
      <c r="D74">
        <v>1003</v>
      </c>
      <c r="E74" t="str">
        <f>INDEX('Highlevel Master COA'!$B:$B,MATCH(COA!$D74,'Highlevel Master COA'!$C:$C,0))</f>
        <v>Transportation</v>
      </c>
      <c r="F74" t="str">
        <f t="shared" si="0"/>
        <v>01-08-1003</v>
      </c>
      <c r="G74" t="str">
        <f>INDEX('Highlevel Master COA'!$D:$D,MATCH(COA!$D74,'Highlevel Master COA'!$C:$C,0))</f>
        <v>Travel</v>
      </c>
      <c r="H74" t="str">
        <f t="shared" si="4"/>
        <v>ETC Summit-Transportation</v>
      </c>
      <c r="I74" t="s">
        <v>379</v>
      </c>
      <c r="J74" t="s">
        <v>380</v>
      </c>
    </row>
    <row r="75" spans="1:10" x14ac:dyDescent="0.3">
      <c r="A75" s="169" t="s">
        <v>212</v>
      </c>
      <c r="B75" s="169" t="s">
        <v>223</v>
      </c>
      <c r="C75" t="str">
        <f>INDEX('Highlevel Master COA'!$B$13:$B$36,MATCH(COA!$B75,'Highlevel Master COA'!$C$13:$C$36,0))</f>
        <v>ETC Summit</v>
      </c>
      <c r="D75">
        <v>1004</v>
      </c>
      <c r="E75" t="str">
        <f>INDEX('Highlevel Master COA'!$B:$B,MATCH(COA!$D75,'Highlevel Master COA'!$C:$C,0))</f>
        <v>Travel-Other</v>
      </c>
      <c r="F75" t="str">
        <f t="shared" si="0"/>
        <v>01-08-1004</v>
      </c>
      <c r="G75" t="str">
        <f>INDEX('Highlevel Master COA'!$D:$D,MATCH(COA!$D75,'Highlevel Master COA'!$C:$C,0))</f>
        <v>Travel</v>
      </c>
      <c r="H75" t="str">
        <f t="shared" si="4"/>
        <v>ETC Summit-Travel-Other</v>
      </c>
      <c r="I75" t="s">
        <v>381</v>
      </c>
      <c r="J75" t="s">
        <v>382</v>
      </c>
    </row>
    <row r="76" spans="1:10" x14ac:dyDescent="0.3">
      <c r="A76" s="169" t="s">
        <v>212</v>
      </c>
      <c r="B76" s="169" t="s">
        <v>223</v>
      </c>
      <c r="C76" t="str">
        <f>INDEX('Highlevel Master COA'!$B$13:$B$36,MATCH(COA!$B76,'Highlevel Master COA'!$C$13:$C$36,0))</f>
        <v>ETC Summit</v>
      </c>
      <c r="D76">
        <v>1400</v>
      </c>
      <c r="E76" t="str">
        <f>INDEX('Highlevel Master COA'!$B:$B,MATCH(COA!$D76,'Highlevel Master COA'!$C:$C,0))</f>
        <v>Conferences</v>
      </c>
      <c r="F76" t="str">
        <f t="shared" si="0"/>
        <v>01-08-1400</v>
      </c>
      <c r="G76" t="str">
        <f>INDEX('Highlevel Master COA'!$D:$D,MATCH(COA!$D76,'Highlevel Master COA'!$C:$C,0))</f>
        <v>Marketing</v>
      </c>
      <c r="H76" t="str">
        <f t="shared" si="4"/>
        <v>ETC Summit-Conferences</v>
      </c>
      <c r="I76" t="s">
        <v>383</v>
      </c>
      <c r="J76" t="s">
        <v>384</v>
      </c>
    </row>
    <row r="77" spans="1:10" x14ac:dyDescent="0.3">
      <c r="A77" s="169" t="s">
        <v>212</v>
      </c>
      <c r="B77" s="169" t="s">
        <v>223</v>
      </c>
      <c r="C77" t="str">
        <f>INDEX('Highlevel Master COA'!$B$13:$B$36,MATCH(COA!$B77,'Highlevel Master COA'!$C$13:$C$36,0))</f>
        <v>ETC Summit</v>
      </c>
      <c r="D77">
        <v>1401</v>
      </c>
      <c r="E77" t="str">
        <f>INDEX('Highlevel Master COA'!$B:$B,MATCH(COA!$D77,'Highlevel Master COA'!$C:$C,0))</f>
        <v>Sponsorship</v>
      </c>
      <c r="F77" t="str">
        <f t="shared" si="0"/>
        <v>01-08-1401</v>
      </c>
      <c r="G77" t="str">
        <f>INDEX('Highlevel Master COA'!$D:$D,MATCH(COA!$D77,'Highlevel Master COA'!$C:$C,0))</f>
        <v>Marketing</v>
      </c>
      <c r="H77" t="str">
        <f t="shared" si="4"/>
        <v>ETC Summit-Sponsorship</v>
      </c>
      <c r="I77" t="s">
        <v>385</v>
      </c>
      <c r="J77" t="s">
        <v>386</v>
      </c>
    </row>
    <row r="78" spans="1:10" x14ac:dyDescent="0.3">
      <c r="A78" s="169" t="s">
        <v>212</v>
      </c>
      <c r="B78" s="169" t="s">
        <v>223</v>
      </c>
      <c r="C78" t="str">
        <f>INDEX('Highlevel Master COA'!$B$13:$B$36,MATCH(COA!$B78,'Highlevel Master COA'!$C$13:$C$36,0))</f>
        <v>ETC Summit</v>
      </c>
      <c r="D78">
        <v>1402</v>
      </c>
      <c r="E78" t="str">
        <f>INDEX('Highlevel Master COA'!$B:$B,MATCH(COA!$D78,'Highlevel Master COA'!$C:$C,0))</f>
        <v>Advertising</v>
      </c>
      <c r="F78" t="str">
        <f t="shared" si="0"/>
        <v>01-08-1402</v>
      </c>
      <c r="G78" t="str">
        <f>INDEX('Highlevel Master COA'!$D:$D,MATCH(COA!$D78,'Highlevel Master COA'!$C:$C,0))</f>
        <v>Marketing</v>
      </c>
      <c r="H78" t="str">
        <f t="shared" si="4"/>
        <v>ETC Summit-Advertising</v>
      </c>
      <c r="I78" t="s">
        <v>387</v>
      </c>
      <c r="J78" t="s">
        <v>388</v>
      </c>
    </row>
    <row r="79" spans="1:10" x14ac:dyDescent="0.3">
      <c r="A79" s="169" t="s">
        <v>212</v>
      </c>
      <c r="B79" s="169" t="s">
        <v>223</v>
      </c>
      <c r="C79" t="str">
        <f>INDEX('Highlevel Master COA'!$B$13:$B$36,MATCH(COA!$B79,'Highlevel Master COA'!$C$13:$C$36,0))</f>
        <v>ETC Summit</v>
      </c>
      <c r="D79">
        <v>1403</v>
      </c>
      <c r="E79" t="str">
        <f>INDEX('Highlevel Master COA'!$B:$B,MATCH(COA!$D79,'Highlevel Master COA'!$C:$C,0))</f>
        <v>Swag</v>
      </c>
      <c r="F79" t="str">
        <f t="shared" si="0"/>
        <v>01-08-1403</v>
      </c>
      <c r="G79" t="str">
        <f>INDEX('Highlevel Master COA'!$D:$D,MATCH(COA!$D79,'Highlevel Master COA'!$C:$C,0))</f>
        <v>Marketing</v>
      </c>
      <c r="H79" t="str">
        <f t="shared" si="4"/>
        <v>ETC Summit-Swag</v>
      </c>
      <c r="I79" t="s">
        <v>389</v>
      </c>
      <c r="J79" t="s">
        <v>390</v>
      </c>
    </row>
    <row r="80" spans="1:10" x14ac:dyDescent="0.3">
      <c r="A80" s="169" t="s">
        <v>212</v>
      </c>
      <c r="B80" s="169" t="s">
        <v>223</v>
      </c>
      <c r="C80" t="str">
        <f>INDEX('Highlevel Master COA'!$B$13:$B$36,MATCH(COA!$B80,'Highlevel Master COA'!$C$13:$C$36,0))</f>
        <v>ETC Summit</v>
      </c>
      <c r="D80">
        <v>1407</v>
      </c>
      <c r="E80" t="str">
        <f>INDEX('Highlevel Master COA'!$B:$B,MATCH(COA!$D80,'Highlevel Master COA'!$C:$C,0))</f>
        <v>Other</v>
      </c>
      <c r="F80" t="str">
        <f t="shared" ref="F80" si="5">CONCATENATE(A80,"-",B80,"-",D80)</f>
        <v>01-08-1407</v>
      </c>
      <c r="G80" t="str">
        <f>INDEX('Highlevel Master COA'!$D:$D,MATCH(COA!$D80,'Highlevel Master COA'!$C:$C,0))</f>
        <v>Marketing</v>
      </c>
      <c r="H80" t="str">
        <f t="shared" ref="H80" si="6">CONCATENATE(C80,"-",E80)</f>
        <v>ETC Summit-Other</v>
      </c>
      <c r="I80" t="s">
        <v>437</v>
      </c>
      <c r="J80" t="s">
        <v>438</v>
      </c>
    </row>
    <row r="82" spans="1:10" x14ac:dyDescent="0.3">
      <c r="A82" s="169" t="s">
        <v>212</v>
      </c>
      <c r="B82" s="169" t="s">
        <v>216</v>
      </c>
      <c r="C82" t="str">
        <f>INDEX('Highlevel Master COA'!$B$13:$B$36,MATCH(COA!$B82,'Highlevel Master COA'!$C$13:$C$36,0))</f>
        <v>Revenue</v>
      </c>
      <c r="D82">
        <v>5000</v>
      </c>
      <c r="E82" t="str">
        <f>INDEX('Highlevel Master COA'!$B:$B,MATCH(COA!$D82,'Highlevel Master COA'!$C:$C,0))</f>
        <v>Grayscale Fees</v>
      </c>
      <c r="F82" t="str">
        <f t="shared" ref="F82:F87" si="7">CONCATENATE(A82,"-",B82,"-",D82)</f>
        <v>01-00-5000</v>
      </c>
      <c r="G82" t="str">
        <f>INDEX('Highlevel Master COA'!$D:$D,MATCH(COA!$D82,'Highlevel Master COA'!$C:$C,0))</f>
        <v>Revenue</v>
      </c>
      <c r="H82" t="str">
        <f t="shared" si="4"/>
        <v>Revenue-Grayscale Fees</v>
      </c>
      <c r="I82" t="s">
        <v>391</v>
      </c>
      <c r="J82" t="s">
        <v>392</v>
      </c>
    </row>
    <row r="83" spans="1:10" x14ac:dyDescent="0.3">
      <c r="A83" s="169" t="s">
        <v>212</v>
      </c>
      <c r="B83" s="169" t="s">
        <v>216</v>
      </c>
      <c r="C83" t="str">
        <f>INDEX('Highlevel Master COA'!$B$13:$B$36,MATCH(COA!$B83,'Highlevel Master COA'!$C$13:$C$36,0))</f>
        <v>Revenue</v>
      </c>
      <c r="D83">
        <v>5001</v>
      </c>
      <c r="E83" t="str">
        <f>INDEX('Highlevel Master COA'!$B:$B,MATCH(COA!$D83,'Highlevel Master COA'!$C:$C,0))</f>
        <v>Donations</v>
      </c>
      <c r="F83" t="str">
        <f t="shared" si="7"/>
        <v>01-00-5001</v>
      </c>
      <c r="G83" t="str">
        <f>INDEX('Highlevel Master COA'!$D:$D,MATCH(COA!$D83,'Highlevel Master COA'!$C:$C,0))</f>
        <v>Revenue</v>
      </c>
      <c r="H83" t="str">
        <f t="shared" si="4"/>
        <v>Revenue-Donations</v>
      </c>
      <c r="I83" t="s">
        <v>393</v>
      </c>
      <c r="J83" t="s">
        <v>394</v>
      </c>
    </row>
    <row r="84" spans="1:10" x14ac:dyDescent="0.3">
      <c r="A84" s="169" t="s">
        <v>212</v>
      </c>
      <c r="B84" s="169" t="s">
        <v>216</v>
      </c>
      <c r="C84" t="str">
        <f>INDEX('Highlevel Master COA'!$B$13:$B$36,MATCH(COA!$B84,'Highlevel Master COA'!$C$13:$C$36,0))</f>
        <v>Revenue</v>
      </c>
      <c r="D84">
        <v>5002</v>
      </c>
      <c r="E84" t="str">
        <f>INDEX('Highlevel Master COA'!$B:$B,MATCH(COA!$D84,'Highlevel Master COA'!$C:$C,0))</f>
        <v>Sponsorships</v>
      </c>
      <c r="F84" t="str">
        <f t="shared" si="7"/>
        <v>01-00-5002</v>
      </c>
      <c r="G84" t="str">
        <f>INDEX('Highlevel Master COA'!$D:$D,MATCH(COA!$D84,'Highlevel Master COA'!$C:$C,0))</f>
        <v>Revenue</v>
      </c>
      <c r="H84" t="str">
        <f t="shared" si="4"/>
        <v>Revenue-Sponsorships</v>
      </c>
      <c r="I84" t="s">
        <v>395</v>
      </c>
      <c r="J84" t="s">
        <v>396</v>
      </c>
    </row>
    <row r="85" spans="1:10" x14ac:dyDescent="0.3">
      <c r="A85" s="169" t="s">
        <v>212</v>
      </c>
      <c r="B85" s="169" t="s">
        <v>216</v>
      </c>
      <c r="C85" t="str">
        <f>INDEX('Highlevel Master COA'!$B$13:$B$36,MATCH(COA!$B85,'Highlevel Master COA'!$C$13:$C$36,0))</f>
        <v>Revenue</v>
      </c>
      <c r="D85">
        <v>5003</v>
      </c>
      <c r="E85" t="str">
        <f>INDEX('Highlevel Master COA'!$B:$B,MATCH(COA!$D85,'Highlevel Master COA'!$C:$C,0))</f>
        <v>Membership Fees</v>
      </c>
      <c r="F85" t="str">
        <f t="shared" si="7"/>
        <v>01-00-5003</v>
      </c>
      <c r="G85" t="str">
        <f>INDEX('Highlevel Master COA'!$D:$D,MATCH(COA!$D85,'Highlevel Master COA'!$C:$C,0))</f>
        <v>Revenue</v>
      </c>
      <c r="H85" t="str">
        <f t="shared" si="4"/>
        <v>Revenue-Membership Fees</v>
      </c>
      <c r="I85" t="s">
        <v>397</v>
      </c>
      <c r="J85" t="s">
        <v>398</v>
      </c>
    </row>
    <row r="86" spans="1:10" x14ac:dyDescent="0.3">
      <c r="A86" s="169" t="s">
        <v>212</v>
      </c>
      <c r="B86" s="169" t="s">
        <v>216</v>
      </c>
      <c r="C86" t="str">
        <f>INDEX('Highlevel Master COA'!$B$13:$B$36,MATCH(COA!$B86,'Highlevel Master COA'!$C$13:$C$36,0))</f>
        <v>Revenue</v>
      </c>
      <c r="D86">
        <v>5004</v>
      </c>
      <c r="E86" t="str">
        <f>INDEX('Highlevel Master COA'!$B:$B,MATCH(COA!$D86,'Highlevel Master COA'!$C:$C,0))</f>
        <v>Interest Income</v>
      </c>
      <c r="F86" t="str">
        <f t="shared" si="7"/>
        <v>01-00-5004</v>
      </c>
      <c r="G86" t="str">
        <f>INDEX('Highlevel Master COA'!$D:$D,MATCH(COA!$D86,'Highlevel Master COA'!$C:$C,0))</f>
        <v>Revenue</v>
      </c>
      <c r="H86" t="str">
        <f t="shared" si="4"/>
        <v>Revenue-Interest Income</v>
      </c>
      <c r="I86" t="s">
        <v>399</v>
      </c>
      <c r="J86" t="s">
        <v>400</v>
      </c>
    </row>
    <row r="87" spans="1:10" x14ac:dyDescent="0.3">
      <c r="A87" s="169" t="s">
        <v>212</v>
      </c>
      <c r="B87" s="169" t="s">
        <v>216</v>
      </c>
      <c r="C87" t="str">
        <f>INDEX('Highlevel Master COA'!$B$13:$B$36,MATCH(COA!$B87,'Highlevel Master COA'!$C$13:$C$36,0))</f>
        <v>Revenue</v>
      </c>
      <c r="D87">
        <v>5005</v>
      </c>
      <c r="E87" t="str">
        <f>INDEX('Highlevel Master COA'!$B:$B,MATCH(COA!$D87,'Highlevel Master COA'!$C:$C,0))</f>
        <v>Other</v>
      </c>
      <c r="F87" t="str">
        <f t="shared" si="7"/>
        <v>01-00-5005</v>
      </c>
      <c r="G87" t="str">
        <f>INDEX('Highlevel Master COA'!$D:$D,MATCH(COA!$D87,'Highlevel Master COA'!$C:$C,0))</f>
        <v>Revenue</v>
      </c>
      <c r="H87" t="str">
        <f t="shared" si="4"/>
        <v>Revenue-Other</v>
      </c>
      <c r="I87" t="s">
        <v>401</v>
      </c>
      <c r="J87" t="s">
        <v>402</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Page</vt:lpstr>
      <vt:lpstr>2022 Budget Expenses Model</vt:lpstr>
      <vt:lpstr>Budget Summary</vt:lpstr>
      <vt:lpstr>Summary by Department &amp; Categor</vt:lpstr>
      <vt:lpstr>Sheet3</vt:lpstr>
      <vt:lpstr>Summary for Presentation</vt:lpstr>
      <vt:lpstr>Back up ---&gt;</vt:lpstr>
      <vt:lpstr>Grant Budget</vt:lpstr>
      <vt:lpstr>Travel Budget</vt:lpstr>
      <vt:lpstr>Budget 2020</vt:lpstr>
      <vt:lpstr>Balance Sheet</vt:lpstr>
      <vt:lpstr>Cash-Flow</vt:lpstr>
      <vt:lpstr>P&amp;L </vt:lpstr>
      <vt:lpstr>Financial Position</vt:lpstr>
      <vt:lpstr>Income Scenarios</vt:lpstr>
      <vt:lpstr>Highlevel Master COA</vt:lpstr>
      <vt:lpstr>COA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alison</cp:lastModifiedBy>
  <dcterms:created xsi:type="dcterms:W3CDTF">2019-11-25T23:19:52Z</dcterms:created>
  <dcterms:modified xsi:type="dcterms:W3CDTF">2022-03-04T23:30:05Z</dcterms:modified>
</cp:coreProperties>
</file>